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e\lifespan\"/>
    </mc:Choice>
  </mc:AlternateContent>
  <xr:revisionPtr revIDLastSave="0" documentId="13_ncr:1_{5E82E501-D6DC-455D-9E7F-79454BB28BEB}" xr6:coauthVersionLast="47" xr6:coauthVersionMax="47" xr10:uidLastSave="{00000000-0000-0000-0000-000000000000}"/>
  <bookViews>
    <workbookView xWindow="29715" yWindow="645" windowWidth="26670" windowHeight="16230" activeTab="2" xr2:uid="{4CD5D8A7-3BB9-48B8-ADBB-2580DF5B92C0}"/>
  </bookViews>
  <sheets>
    <sheet name="Blood work" sheetId="1" r:id="rId1"/>
    <sheet name="Amino" sheetId="5" r:id="rId2"/>
    <sheet name="Analysis" sheetId="6" r:id="rId3"/>
    <sheet name="page" sheetId="2" r:id="rId4"/>
    <sheet name="enc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2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B3" i="6"/>
  <c r="B2" i="6"/>
  <c r="A1" i="6"/>
  <c r="C24" i="7"/>
  <c r="C31" i="7"/>
  <c r="C27" i="7"/>
  <c r="C25" i="7"/>
  <c r="C23" i="7"/>
  <c r="C21" i="7"/>
  <c r="C20" i="7"/>
  <c r="C19" i="7"/>
  <c r="C18" i="7"/>
  <c r="C17" i="7"/>
  <c r="C16" i="7"/>
  <c r="C15" i="7"/>
  <c r="C13" i="7"/>
  <c r="C12" i="7"/>
  <c r="C11" i="7"/>
  <c r="C10" i="7"/>
  <c r="C9" i="7"/>
  <c r="C8" i="7"/>
  <c r="C7" i="7"/>
  <c r="B1" i="7"/>
  <c r="K3" i="2"/>
  <c r="J3" i="2"/>
  <c r="I3" i="2"/>
  <c r="H3" i="2"/>
  <c r="G3" i="2"/>
  <c r="F3" i="2"/>
  <c r="D3" i="2"/>
  <c r="C3" i="2"/>
  <c r="B3" i="2"/>
  <c r="B392" i="1"/>
  <c r="B378" i="1"/>
  <c r="B358" i="1"/>
  <c r="B355" i="1"/>
  <c r="B352" i="1"/>
  <c r="B347" i="1"/>
  <c r="B344" i="1"/>
  <c r="B329" i="1"/>
  <c r="B328" i="1"/>
  <c r="B322" i="1"/>
  <c r="B323" i="1" s="1"/>
  <c r="B316" i="1"/>
  <c r="B312" i="1"/>
  <c r="B313" i="1" s="1"/>
  <c r="B309" i="1"/>
  <c r="B300" i="1"/>
  <c r="B297" i="1"/>
  <c r="B295" i="1"/>
  <c r="B290" i="1"/>
  <c r="B284" i="1"/>
  <c r="B283" i="1"/>
  <c r="B280" i="1"/>
  <c r="B279" i="1"/>
  <c r="B274" i="1"/>
  <c r="B271" i="1"/>
  <c r="B264" i="1"/>
  <c r="B261" i="1"/>
  <c r="B256" i="1"/>
  <c r="B253" i="1"/>
  <c r="B252" i="1"/>
  <c r="B248" i="1"/>
  <c r="B242" i="1"/>
  <c r="B236" i="1"/>
  <c r="B233" i="1"/>
  <c r="B232" i="1"/>
  <c r="B228" i="1"/>
  <c r="B229" i="1" s="1"/>
  <c r="B221" i="1"/>
  <c r="B223" i="1" s="1"/>
  <c r="B218" i="1"/>
  <c r="B213" i="1"/>
  <c r="B209" i="1"/>
  <c r="B206" i="1"/>
  <c r="B200" i="1"/>
  <c r="B202" i="1" s="1"/>
  <c r="B196" i="1"/>
  <c r="B189" i="1"/>
  <c r="B183" i="1"/>
  <c r="B185" i="1" s="1"/>
  <c r="B180" i="1"/>
  <c r="B179" i="1"/>
  <c r="B176" i="1"/>
  <c r="B175" i="1"/>
  <c r="B172" i="1"/>
  <c r="B169" i="1"/>
  <c r="B166" i="1"/>
  <c r="B164" i="1"/>
  <c r="B161" i="1"/>
  <c r="B160" i="1"/>
  <c r="B157" i="1"/>
  <c r="B154" i="1"/>
  <c r="B147" i="1"/>
  <c r="B144" i="1"/>
  <c r="B141" i="1"/>
  <c r="B138" i="1"/>
  <c r="B135" i="1"/>
  <c r="B131" i="1"/>
  <c r="B128" i="1"/>
  <c r="B125" i="1"/>
  <c r="B121" i="1"/>
  <c r="B117" i="1"/>
  <c r="B109" i="1"/>
  <c r="B106" i="1"/>
  <c r="B102" i="1"/>
  <c r="B98" i="1"/>
  <c r="B92" i="1"/>
  <c r="B88" i="1"/>
  <c r="B84" i="1"/>
  <c r="B81" i="1"/>
  <c r="B77" i="1"/>
  <c r="B72" i="1"/>
  <c r="B70" i="1"/>
  <c r="B25" i="1"/>
  <c r="B20" i="1"/>
  <c r="B17" i="1"/>
  <c r="B14" i="1"/>
  <c r="B11" i="1"/>
  <c r="B6" i="1"/>
  <c r="B3" i="1"/>
  <c r="F297" i="1"/>
  <c r="G297" i="1"/>
  <c r="H297" i="1"/>
  <c r="J297" i="1"/>
  <c r="K297" i="1"/>
  <c r="L297" i="1"/>
  <c r="M297" i="1"/>
  <c r="N297" i="1"/>
  <c r="O297" i="1"/>
  <c r="P297" i="1"/>
  <c r="D297" i="1"/>
  <c r="D378" i="1"/>
  <c r="D31" i="7" s="1"/>
  <c r="G31" i="7" s="1"/>
  <c r="H31" i="7" s="1"/>
  <c r="D24" i="7"/>
  <c r="G24" i="7" s="1"/>
  <c r="H24" i="7" s="1"/>
  <c r="D392" i="1"/>
  <c r="D358" i="1"/>
  <c r="D355" i="1"/>
  <c r="D352" i="1"/>
  <c r="D347" i="1"/>
  <c r="D344" i="1"/>
  <c r="D329" i="1"/>
  <c r="D328" i="1"/>
  <c r="D322" i="1"/>
  <c r="D323" i="1" s="1"/>
  <c r="D316" i="1"/>
  <c r="D312" i="1"/>
  <c r="D313" i="1" s="1"/>
  <c r="D309" i="1"/>
  <c r="D300" i="1"/>
  <c r="D295" i="1"/>
  <c r="D290" i="1"/>
  <c r="D284" i="1"/>
  <c r="D283" i="1"/>
  <c r="D280" i="1"/>
  <c r="D279" i="1"/>
  <c r="D274" i="1"/>
  <c r="D271" i="1"/>
  <c r="D264" i="1"/>
  <c r="D261" i="1"/>
  <c r="D256" i="1"/>
  <c r="D253" i="1"/>
  <c r="D252" i="1"/>
  <c r="D248" i="1"/>
  <c r="D242" i="1"/>
  <c r="D236" i="1"/>
  <c r="D232" i="1"/>
  <c r="D233" i="1" s="1"/>
  <c r="D228" i="1"/>
  <c r="D229" i="1" s="1"/>
  <c r="D221" i="1"/>
  <c r="D223" i="1" s="1"/>
  <c r="D218" i="1"/>
  <c r="D213" i="1"/>
  <c r="D209" i="1"/>
  <c r="D206" i="1"/>
  <c r="D200" i="1"/>
  <c r="D202" i="1" s="1"/>
  <c r="D196" i="1"/>
  <c r="D189" i="1"/>
  <c r="D183" i="1"/>
  <c r="D185" i="1" s="1"/>
  <c r="D180" i="1"/>
  <c r="D179" i="1"/>
  <c r="D176" i="1"/>
  <c r="D175" i="1"/>
  <c r="D172" i="1"/>
  <c r="D169" i="1"/>
  <c r="D166" i="1"/>
  <c r="D164" i="1"/>
  <c r="D161" i="1"/>
  <c r="D160" i="1"/>
  <c r="D157" i="1"/>
  <c r="D154" i="1"/>
  <c r="D147" i="1"/>
  <c r="D144" i="1"/>
  <c r="D141" i="1"/>
  <c r="D138" i="1"/>
  <c r="D135" i="1"/>
  <c r="D131" i="1"/>
  <c r="D128" i="1"/>
  <c r="D125" i="1"/>
  <c r="D121" i="1"/>
  <c r="D117" i="1"/>
  <c r="D109" i="1"/>
  <c r="D106" i="1"/>
  <c r="D102" i="1"/>
  <c r="D98" i="1"/>
  <c r="D92" i="1"/>
  <c r="D88" i="1"/>
  <c r="D84" i="1"/>
  <c r="D81" i="1"/>
  <c r="D77" i="1"/>
  <c r="D72" i="1"/>
  <c r="D70" i="1"/>
  <c r="D25" i="1"/>
  <c r="D20" i="1"/>
  <c r="D17" i="1"/>
  <c r="D14" i="1"/>
  <c r="D11" i="1"/>
  <c r="D6" i="1"/>
  <c r="D3" i="1"/>
  <c r="D25" i="7"/>
  <c r="G25" i="7" s="1"/>
  <c r="H25" i="7" s="1"/>
  <c r="D12" i="7"/>
  <c r="G12" i="7" s="1"/>
  <c r="H12" i="7" s="1"/>
  <c r="D6" i="7"/>
  <c r="G6" i="7" s="1"/>
  <c r="D13" i="7"/>
  <c r="G13" i="7" s="1"/>
  <c r="H13" i="7" s="1"/>
  <c r="D14" i="7"/>
  <c r="G14" i="7" s="1"/>
  <c r="H14" i="7" s="1"/>
  <c r="D15" i="7"/>
  <c r="G15" i="7" s="1"/>
  <c r="H15" i="7" s="1"/>
  <c r="D22" i="7"/>
  <c r="G22" i="7" s="1"/>
  <c r="H22" i="7" s="1"/>
  <c r="D26" i="7"/>
  <c r="G26" i="7" s="1"/>
  <c r="H26" i="7" s="1"/>
  <c r="D28" i="7"/>
  <c r="G28" i="7" s="1"/>
  <c r="H28" i="7" s="1"/>
  <c r="D29" i="7"/>
  <c r="G29" i="7" s="1"/>
  <c r="H29" i="7" s="1"/>
  <c r="D30" i="7"/>
  <c r="G30" i="7" s="1"/>
  <c r="H30" i="7" s="1"/>
  <c r="B27" i="1" l="1"/>
  <c r="B225" i="1"/>
  <c r="D27" i="1"/>
  <c r="D225" i="1"/>
  <c r="H6" i="7"/>
  <c r="B33" i="7"/>
  <c r="E392" i="1"/>
  <c r="E3" i="1"/>
  <c r="E6" i="1"/>
  <c r="E11" i="1"/>
  <c r="E14" i="1"/>
  <c r="E17" i="1"/>
  <c r="E20" i="1"/>
  <c r="E25" i="1"/>
  <c r="E70" i="1"/>
  <c r="E72" i="1"/>
  <c r="E77" i="1"/>
  <c r="E81" i="1"/>
  <c r="E84" i="1"/>
  <c r="E88" i="1"/>
  <c r="E92" i="1"/>
  <c r="E98" i="1"/>
  <c r="E102" i="1"/>
  <c r="E106" i="1"/>
  <c r="E109" i="1"/>
  <c r="E117" i="1"/>
  <c r="E121" i="1"/>
  <c r="E125" i="1"/>
  <c r="E128" i="1"/>
  <c r="E131" i="1"/>
  <c r="E135" i="1"/>
  <c r="E138" i="1"/>
  <c r="E141" i="1"/>
  <c r="E144" i="1"/>
  <c r="E147" i="1"/>
  <c r="E154" i="1"/>
  <c r="E157" i="1"/>
  <c r="E160" i="1"/>
  <c r="E161" i="1"/>
  <c r="E164" i="1"/>
  <c r="E166" i="1"/>
  <c r="E169" i="1"/>
  <c r="E172" i="1"/>
  <c r="E175" i="1"/>
  <c r="E176" i="1"/>
  <c r="E179" i="1"/>
  <c r="E180" i="1"/>
  <c r="E183" i="1"/>
  <c r="E185" i="1" s="1"/>
  <c r="E189" i="1"/>
  <c r="E196" i="1"/>
  <c r="E200" i="1"/>
  <c r="E202" i="1" s="1"/>
  <c r="E206" i="1"/>
  <c r="E209" i="1"/>
  <c r="E213" i="1"/>
  <c r="E218" i="1"/>
  <c r="E221" i="1"/>
  <c r="E223" i="1" s="1"/>
  <c r="E228" i="1"/>
  <c r="E229" i="1" s="1"/>
  <c r="E232" i="1"/>
  <c r="E233" i="1" s="1"/>
  <c r="E236" i="1"/>
  <c r="E242" i="1"/>
  <c r="E248" i="1"/>
  <c r="E252" i="1"/>
  <c r="E253" i="1"/>
  <c r="E256" i="1"/>
  <c r="E261" i="1"/>
  <c r="E264" i="1"/>
  <c r="E271" i="1"/>
  <c r="E274" i="1"/>
  <c r="E279" i="1"/>
  <c r="E280" i="1"/>
  <c r="E283" i="1"/>
  <c r="E284" i="1"/>
  <c r="E290" i="1"/>
  <c r="E295" i="1"/>
  <c r="E300" i="1"/>
  <c r="E309" i="1"/>
  <c r="E312" i="1"/>
  <c r="E313" i="1" s="1"/>
  <c r="E316" i="1"/>
  <c r="E322" i="1"/>
  <c r="E323" i="1" s="1"/>
  <c r="E328" i="1"/>
  <c r="E329" i="1"/>
  <c r="E344" i="1"/>
  <c r="E347" i="1"/>
  <c r="E352" i="1"/>
  <c r="E355" i="1"/>
  <c r="E358" i="1"/>
  <c r="B1" i="6"/>
  <c r="K6" i="2"/>
  <c r="K9" i="2" s="1"/>
  <c r="F392" i="1"/>
  <c r="F14" i="1"/>
  <c r="F358" i="1"/>
  <c r="F355" i="1"/>
  <c r="F352" i="1"/>
  <c r="F347" i="1"/>
  <c r="F344" i="1"/>
  <c r="F329" i="1"/>
  <c r="F328" i="1"/>
  <c r="F322" i="1"/>
  <c r="F323" i="1" s="1"/>
  <c r="F316" i="1"/>
  <c r="F312" i="1"/>
  <c r="F313" i="1" s="1"/>
  <c r="F309" i="1"/>
  <c r="F300" i="1"/>
  <c r="F295" i="1"/>
  <c r="F290" i="1"/>
  <c r="F284" i="1"/>
  <c r="F283" i="1"/>
  <c r="F280" i="1"/>
  <c r="F279" i="1"/>
  <c r="F274" i="1"/>
  <c r="F271" i="1"/>
  <c r="F264" i="1"/>
  <c r="F261" i="1"/>
  <c r="F256" i="1"/>
  <c r="F253" i="1"/>
  <c r="F252" i="1"/>
  <c r="F248" i="1"/>
  <c r="F242" i="1"/>
  <c r="F236" i="1"/>
  <c r="F232" i="1"/>
  <c r="F233" i="1" s="1"/>
  <c r="F228" i="1"/>
  <c r="F221" i="1"/>
  <c r="F223" i="1" s="1"/>
  <c r="F218" i="1"/>
  <c r="F213" i="1"/>
  <c r="F209" i="1"/>
  <c r="F206" i="1"/>
  <c r="F200" i="1"/>
  <c r="F196" i="1"/>
  <c r="F189" i="1"/>
  <c r="F183" i="1"/>
  <c r="F180" i="1"/>
  <c r="F179" i="1"/>
  <c r="F176" i="1"/>
  <c r="F175" i="1"/>
  <c r="F172" i="1"/>
  <c r="F169" i="1"/>
  <c r="F166" i="1"/>
  <c r="F164" i="1"/>
  <c r="F161" i="1"/>
  <c r="F160" i="1"/>
  <c r="F157" i="1"/>
  <c r="F154" i="1"/>
  <c r="F147" i="1"/>
  <c r="F144" i="1"/>
  <c r="F141" i="1"/>
  <c r="F138" i="1"/>
  <c r="F135" i="1"/>
  <c r="F131" i="1"/>
  <c r="F128" i="1"/>
  <c r="F125" i="1"/>
  <c r="F121" i="1"/>
  <c r="F117" i="1"/>
  <c r="F109" i="1"/>
  <c r="F106" i="1"/>
  <c r="F102" i="1"/>
  <c r="F98" i="1"/>
  <c r="F92" i="1"/>
  <c r="F88" i="1"/>
  <c r="F84" i="1"/>
  <c r="F81" i="1"/>
  <c r="F77" i="1"/>
  <c r="F72" i="1"/>
  <c r="F70" i="1"/>
  <c r="F25" i="1"/>
  <c r="F20" i="1"/>
  <c r="F17" i="1"/>
  <c r="F11" i="1"/>
  <c r="F6" i="1"/>
  <c r="F3" i="1"/>
  <c r="G392" i="1"/>
  <c r="G358" i="1"/>
  <c r="G355" i="1"/>
  <c r="G352" i="1"/>
  <c r="G347" i="1"/>
  <c r="G344" i="1"/>
  <c r="G329" i="1"/>
  <c r="G328" i="1"/>
  <c r="G322" i="1"/>
  <c r="G323" i="1" s="1"/>
  <c r="G316" i="1"/>
  <c r="G312" i="1"/>
  <c r="G313" i="1" s="1"/>
  <c r="G309" i="1"/>
  <c r="G300" i="1"/>
  <c r="G295" i="1"/>
  <c r="G290" i="1"/>
  <c r="G284" i="1"/>
  <c r="G283" i="1"/>
  <c r="G280" i="1"/>
  <c r="G279" i="1"/>
  <c r="G274" i="1"/>
  <c r="G271" i="1"/>
  <c r="G264" i="1"/>
  <c r="G261" i="1"/>
  <c r="G256" i="1"/>
  <c r="G253" i="1"/>
  <c r="G252" i="1"/>
  <c r="G248" i="1"/>
  <c r="G242" i="1"/>
  <c r="G236" i="1"/>
  <c r="G232" i="1"/>
  <c r="G233" i="1" s="1"/>
  <c r="G228" i="1"/>
  <c r="G229" i="1" s="1"/>
  <c r="G221" i="1"/>
  <c r="G223" i="1" s="1"/>
  <c r="G218" i="1"/>
  <c r="G213" i="1"/>
  <c r="G209" i="1"/>
  <c r="G206" i="1"/>
  <c r="G200" i="1"/>
  <c r="G202" i="1" s="1"/>
  <c r="G196" i="1"/>
  <c r="G189" i="1"/>
  <c r="G183" i="1"/>
  <c r="G185" i="1" s="1"/>
  <c r="G180" i="1"/>
  <c r="G179" i="1"/>
  <c r="G176" i="1"/>
  <c r="G175" i="1"/>
  <c r="G172" i="1"/>
  <c r="G169" i="1"/>
  <c r="G166" i="1"/>
  <c r="G164" i="1"/>
  <c r="G161" i="1"/>
  <c r="G160" i="1"/>
  <c r="G157" i="1"/>
  <c r="G154" i="1"/>
  <c r="G147" i="1"/>
  <c r="G144" i="1"/>
  <c r="G141" i="1"/>
  <c r="G138" i="1"/>
  <c r="G135" i="1"/>
  <c r="G131" i="1"/>
  <c r="G128" i="1"/>
  <c r="G125" i="1"/>
  <c r="G121" i="1"/>
  <c r="G117" i="1"/>
  <c r="G109" i="1"/>
  <c r="G106" i="1"/>
  <c r="G102" i="1"/>
  <c r="G98" i="1"/>
  <c r="G92" i="1"/>
  <c r="G88" i="1"/>
  <c r="G84" i="1"/>
  <c r="G81" i="1"/>
  <c r="G77" i="1"/>
  <c r="G72" i="1"/>
  <c r="G70" i="1"/>
  <c r="G25" i="1"/>
  <c r="G20" i="1"/>
  <c r="G17" i="1"/>
  <c r="G14" i="1"/>
  <c r="G11" i="1"/>
  <c r="G6" i="1"/>
  <c r="G3" i="1"/>
  <c r="H213" i="1"/>
  <c r="I213" i="1"/>
  <c r="J213" i="1"/>
  <c r="K213" i="1"/>
  <c r="L213" i="1"/>
  <c r="M213" i="1"/>
  <c r="N213" i="1"/>
  <c r="O213" i="1"/>
  <c r="H3" i="1"/>
  <c r="H6" i="1"/>
  <c r="H11" i="1"/>
  <c r="H14" i="1"/>
  <c r="H17" i="1"/>
  <c r="H20" i="1"/>
  <c r="H25" i="1"/>
  <c r="H70" i="1"/>
  <c r="H72" i="1"/>
  <c r="H77" i="1"/>
  <c r="H81" i="1"/>
  <c r="H84" i="1"/>
  <c r="H88" i="1"/>
  <c r="H92" i="1"/>
  <c r="H98" i="1"/>
  <c r="H102" i="1"/>
  <c r="H106" i="1"/>
  <c r="H109" i="1"/>
  <c r="H117" i="1"/>
  <c r="H121" i="1"/>
  <c r="H125" i="1"/>
  <c r="H128" i="1"/>
  <c r="H131" i="1"/>
  <c r="H135" i="1"/>
  <c r="H138" i="1"/>
  <c r="H141" i="1"/>
  <c r="H144" i="1"/>
  <c r="H147" i="1"/>
  <c r="H154" i="1"/>
  <c r="H157" i="1"/>
  <c r="H160" i="1"/>
  <c r="H161" i="1"/>
  <c r="H164" i="1"/>
  <c r="H166" i="1"/>
  <c r="H169" i="1"/>
  <c r="H172" i="1"/>
  <c r="H175" i="1"/>
  <c r="H176" i="1"/>
  <c r="H179" i="1"/>
  <c r="H180" i="1"/>
  <c r="H183" i="1"/>
  <c r="H185" i="1" s="1"/>
  <c r="H189" i="1"/>
  <c r="H196" i="1"/>
  <c r="H200" i="1"/>
  <c r="H202" i="1" s="1"/>
  <c r="H206" i="1"/>
  <c r="H209" i="1"/>
  <c r="H218" i="1"/>
  <c r="H221" i="1"/>
  <c r="H223" i="1" s="1"/>
  <c r="H228" i="1"/>
  <c r="H229" i="1" s="1"/>
  <c r="H232" i="1"/>
  <c r="H233" i="1" s="1"/>
  <c r="H236" i="1"/>
  <c r="H242" i="1"/>
  <c r="H248" i="1"/>
  <c r="H252" i="1"/>
  <c r="H253" i="1"/>
  <c r="H256" i="1"/>
  <c r="H261" i="1"/>
  <c r="H264" i="1"/>
  <c r="H271" i="1"/>
  <c r="H274" i="1"/>
  <c r="H279" i="1"/>
  <c r="H280" i="1"/>
  <c r="H283" i="1"/>
  <c r="H284" i="1"/>
  <c r="H290" i="1"/>
  <c r="H295" i="1"/>
  <c r="H300" i="1"/>
  <c r="H309" i="1"/>
  <c r="H312" i="1"/>
  <c r="H313" i="1" s="1"/>
  <c r="H316" i="1"/>
  <c r="H322" i="1"/>
  <c r="H323" i="1" s="1"/>
  <c r="H328" i="1"/>
  <c r="H329" i="1"/>
  <c r="H344" i="1"/>
  <c r="H347" i="1"/>
  <c r="H352" i="1"/>
  <c r="H355" i="1"/>
  <c r="H358" i="1"/>
  <c r="I242" i="1"/>
  <c r="I218" i="1"/>
  <c r="I189" i="1"/>
  <c r="I209" i="1"/>
  <c r="I200" i="1"/>
  <c r="I202" i="1" s="1"/>
  <c r="I180" i="1"/>
  <c r="I179" i="1"/>
  <c r="I176" i="1"/>
  <c r="I175" i="1"/>
  <c r="I161" i="1"/>
  <c r="I160" i="1"/>
  <c r="I147" i="1"/>
  <c r="I144" i="1"/>
  <c r="I141" i="1"/>
  <c r="I138" i="1"/>
  <c r="I135" i="1"/>
  <c r="I131" i="1"/>
  <c r="I128" i="1"/>
  <c r="I125" i="1"/>
  <c r="I121" i="1"/>
  <c r="I117" i="1"/>
  <c r="I109" i="1"/>
  <c r="I106" i="1"/>
  <c r="I102" i="1"/>
  <c r="I98" i="1"/>
  <c r="I92" i="1"/>
  <c r="I88" i="1"/>
  <c r="I84" i="1"/>
  <c r="I81" i="1"/>
  <c r="I77" i="1"/>
  <c r="J25" i="1"/>
  <c r="J6" i="1"/>
  <c r="J242" i="1"/>
  <c r="J218" i="1"/>
  <c r="J189" i="1"/>
  <c r="J358" i="1"/>
  <c r="J355" i="1"/>
  <c r="J352" i="1"/>
  <c r="J347" i="1"/>
  <c r="J344" i="1"/>
  <c r="J329" i="1"/>
  <c r="J328" i="1"/>
  <c r="J322" i="1"/>
  <c r="J323" i="1" s="1"/>
  <c r="J316" i="1"/>
  <c r="J312" i="1"/>
  <c r="J313" i="1" s="1"/>
  <c r="J309" i="1"/>
  <c r="J300" i="1"/>
  <c r="J295" i="1"/>
  <c r="J290" i="1"/>
  <c r="J284" i="1"/>
  <c r="J283" i="1"/>
  <c r="J280" i="1"/>
  <c r="J279" i="1"/>
  <c r="J274" i="1"/>
  <c r="J271" i="1"/>
  <c r="J264" i="1"/>
  <c r="J261" i="1"/>
  <c r="J256" i="1"/>
  <c r="J253" i="1"/>
  <c r="J252" i="1"/>
  <c r="J248" i="1"/>
  <c r="J236" i="1"/>
  <c r="J232" i="1"/>
  <c r="J233" i="1" s="1"/>
  <c r="J228" i="1"/>
  <c r="J229" i="1" s="1"/>
  <c r="J221" i="1"/>
  <c r="J223" i="1" s="1"/>
  <c r="J209" i="1"/>
  <c r="J206" i="1"/>
  <c r="J200" i="1"/>
  <c r="J202" i="1" s="1"/>
  <c r="J196" i="1"/>
  <c r="J183" i="1"/>
  <c r="J185" i="1" s="1"/>
  <c r="J180" i="1"/>
  <c r="J179" i="1"/>
  <c r="J176" i="1"/>
  <c r="J175" i="1"/>
  <c r="J172" i="1"/>
  <c r="J169" i="1"/>
  <c r="J166" i="1"/>
  <c r="J164" i="1"/>
  <c r="J161" i="1"/>
  <c r="J160" i="1"/>
  <c r="J157" i="1"/>
  <c r="J154" i="1"/>
  <c r="J147" i="1"/>
  <c r="J144" i="1"/>
  <c r="J141" i="1"/>
  <c r="J138" i="1"/>
  <c r="J135" i="1"/>
  <c r="J131" i="1"/>
  <c r="J128" i="1"/>
  <c r="J125" i="1"/>
  <c r="J121" i="1"/>
  <c r="J117" i="1"/>
  <c r="J109" i="1"/>
  <c r="J106" i="1"/>
  <c r="J102" i="1"/>
  <c r="J98" i="1"/>
  <c r="J92" i="1"/>
  <c r="J88" i="1"/>
  <c r="J84" i="1"/>
  <c r="J81" i="1"/>
  <c r="J77" i="1"/>
  <c r="J72" i="1"/>
  <c r="J70" i="1"/>
  <c r="J20" i="1"/>
  <c r="J17" i="1"/>
  <c r="J14" i="1"/>
  <c r="J11" i="1"/>
  <c r="J3" i="1"/>
  <c r="L6" i="1"/>
  <c r="M6" i="1"/>
  <c r="N6" i="1"/>
  <c r="O6" i="1"/>
  <c r="K6" i="1"/>
  <c r="K189" i="1"/>
  <c r="K218" i="1"/>
  <c r="K334" i="1"/>
  <c r="K242" i="1"/>
  <c r="K358" i="1"/>
  <c r="K355" i="1"/>
  <c r="K352" i="1"/>
  <c r="K347" i="1"/>
  <c r="K344" i="1"/>
  <c r="K329" i="1"/>
  <c r="K328" i="1"/>
  <c r="K322" i="1"/>
  <c r="K323" i="1" s="1"/>
  <c r="K316" i="1"/>
  <c r="K312" i="1"/>
  <c r="K313" i="1" s="1"/>
  <c r="K309" i="1"/>
  <c r="K300" i="1"/>
  <c r="K295" i="1"/>
  <c r="K290" i="1"/>
  <c r="K284" i="1"/>
  <c r="K283" i="1"/>
  <c r="K280" i="1"/>
  <c r="K279" i="1"/>
  <c r="K274" i="1"/>
  <c r="K271" i="1"/>
  <c r="K264" i="1"/>
  <c r="K261" i="1"/>
  <c r="K256" i="1"/>
  <c r="K253" i="1"/>
  <c r="K252" i="1"/>
  <c r="K248" i="1"/>
  <c r="K236" i="1"/>
  <c r="K232" i="1"/>
  <c r="K233" i="1" s="1"/>
  <c r="K228" i="1"/>
  <c r="K229" i="1" s="1"/>
  <c r="K221" i="1"/>
  <c r="K223" i="1" s="1"/>
  <c r="K209" i="1"/>
  <c r="K206" i="1"/>
  <c r="K200" i="1"/>
  <c r="K202" i="1" s="1"/>
  <c r="K196" i="1"/>
  <c r="K183" i="1"/>
  <c r="K185" i="1" s="1"/>
  <c r="K180" i="1"/>
  <c r="K179" i="1"/>
  <c r="K176" i="1"/>
  <c r="K175" i="1"/>
  <c r="K172" i="1"/>
  <c r="K169" i="1"/>
  <c r="K166" i="1"/>
  <c r="K164" i="1"/>
  <c r="K161" i="1"/>
  <c r="K160" i="1"/>
  <c r="K157" i="1"/>
  <c r="K154" i="1"/>
  <c r="K147" i="1"/>
  <c r="K144" i="1"/>
  <c r="K141" i="1"/>
  <c r="K138" i="1"/>
  <c r="K135" i="1"/>
  <c r="K131" i="1"/>
  <c r="K128" i="1"/>
  <c r="K125" i="1"/>
  <c r="K121" i="1"/>
  <c r="K117" i="1"/>
  <c r="K109" i="1"/>
  <c r="K106" i="1"/>
  <c r="K102" i="1"/>
  <c r="K98" i="1"/>
  <c r="K92" i="1"/>
  <c r="K88" i="1"/>
  <c r="K84" i="1"/>
  <c r="K81" i="1"/>
  <c r="K77" i="1"/>
  <c r="K72" i="1"/>
  <c r="K70" i="1"/>
  <c r="K20" i="1"/>
  <c r="K17" i="1"/>
  <c r="K14" i="1"/>
  <c r="K11" i="1"/>
  <c r="K3" i="1"/>
  <c r="Y295" i="1"/>
  <c r="AA137" i="1"/>
  <c r="Z137" i="1"/>
  <c r="Z200" i="1"/>
  <c r="AB242" i="1"/>
  <c r="AB196" i="1"/>
  <c r="AB180" i="1"/>
  <c r="AB179" i="1"/>
  <c r="AB176" i="1"/>
  <c r="AB175" i="1"/>
  <c r="AC242" i="1"/>
  <c r="AC196" i="1"/>
  <c r="AC180" i="1"/>
  <c r="AC179" i="1"/>
  <c r="AC176" i="1"/>
  <c r="AC175" i="1"/>
  <c r="AD236" i="1"/>
  <c r="AD232" i="1"/>
  <c r="AD233" i="1" s="1"/>
  <c r="AD228" i="1"/>
  <c r="AD229" i="1" s="1"/>
  <c r="AD221" i="1"/>
  <c r="AD223" i="1" s="1"/>
  <c r="AD200" i="1"/>
  <c r="AE300" i="1"/>
  <c r="R328" i="1"/>
  <c r="R329" i="1"/>
  <c r="S329" i="1"/>
  <c r="R248" i="1"/>
  <c r="S328" i="1"/>
  <c r="S284" i="1"/>
  <c r="S283" i="1"/>
  <c r="S280" i="1"/>
  <c r="S279" i="1"/>
  <c r="S264" i="1"/>
  <c r="S248" i="1"/>
  <c r="T11" i="1"/>
  <c r="T261" i="1"/>
  <c r="T329" i="1"/>
  <c r="T328" i="1"/>
  <c r="T284" i="1"/>
  <c r="T283" i="1"/>
  <c r="T280" i="1"/>
  <c r="T279" i="1"/>
  <c r="T264" i="1"/>
  <c r="T248" i="1"/>
  <c r="U329" i="1"/>
  <c r="U328" i="1"/>
  <c r="U284" i="1"/>
  <c r="U283" i="1"/>
  <c r="U280" i="1"/>
  <c r="U279" i="1"/>
  <c r="U264" i="1"/>
  <c r="U248" i="1"/>
  <c r="V329" i="1"/>
  <c r="V328" i="1"/>
  <c r="V284" i="1"/>
  <c r="V283" i="1"/>
  <c r="V280" i="1"/>
  <c r="V279" i="1"/>
  <c r="V264" i="1"/>
  <c r="V248" i="1"/>
  <c r="W328" i="1"/>
  <c r="W329" i="1"/>
  <c r="W283" i="1"/>
  <c r="W284" i="1"/>
  <c r="W279" i="1"/>
  <c r="W280" i="1"/>
  <c r="W248" i="1"/>
  <c r="W264" i="1"/>
  <c r="L72" i="1"/>
  <c r="AF72" i="1"/>
  <c r="L242" i="1"/>
  <c r="L358" i="1"/>
  <c r="L355" i="1"/>
  <c r="L352" i="1"/>
  <c r="L347" i="1"/>
  <c r="L344" i="1"/>
  <c r="L329" i="1"/>
  <c r="L328" i="1"/>
  <c r="L322" i="1"/>
  <c r="L323" i="1" s="1"/>
  <c r="L316" i="1"/>
  <c r="L312" i="1"/>
  <c r="L313" i="1" s="1"/>
  <c r="L309" i="1"/>
  <c r="L300" i="1"/>
  <c r="L295" i="1"/>
  <c r="L290" i="1"/>
  <c r="L284" i="1"/>
  <c r="L283" i="1"/>
  <c r="L280" i="1"/>
  <c r="L279" i="1"/>
  <c r="L274" i="1"/>
  <c r="L271" i="1"/>
  <c r="L264" i="1"/>
  <c r="L261" i="1"/>
  <c r="L256" i="1"/>
  <c r="L253" i="1"/>
  <c r="L252" i="1"/>
  <c r="L248" i="1"/>
  <c r="L236" i="1"/>
  <c r="L232" i="1"/>
  <c r="L233" i="1" s="1"/>
  <c r="L228" i="1"/>
  <c r="L229" i="1" s="1"/>
  <c r="L221" i="1"/>
  <c r="L223" i="1" s="1"/>
  <c r="L209" i="1"/>
  <c r="L206" i="1"/>
  <c r="L200" i="1"/>
  <c r="L202" i="1" s="1"/>
  <c r="L196" i="1"/>
  <c r="L183" i="1"/>
  <c r="L185" i="1" s="1"/>
  <c r="L180" i="1"/>
  <c r="L179" i="1"/>
  <c r="L176" i="1"/>
  <c r="L175" i="1"/>
  <c r="L172" i="1"/>
  <c r="L169" i="1"/>
  <c r="L166" i="1"/>
  <c r="L164" i="1"/>
  <c r="L161" i="1"/>
  <c r="L160" i="1"/>
  <c r="L157" i="1"/>
  <c r="L154" i="1"/>
  <c r="L147" i="1"/>
  <c r="L144" i="1"/>
  <c r="L141" i="1"/>
  <c r="L138" i="1"/>
  <c r="L135" i="1"/>
  <c r="L131" i="1"/>
  <c r="L128" i="1"/>
  <c r="L125" i="1"/>
  <c r="L121" i="1"/>
  <c r="L117" i="1"/>
  <c r="L109" i="1"/>
  <c r="L106" i="1"/>
  <c r="L102" i="1"/>
  <c r="L98" i="1"/>
  <c r="L92" i="1"/>
  <c r="L88" i="1"/>
  <c r="L84" i="1"/>
  <c r="L81" i="1"/>
  <c r="L77" i="1"/>
  <c r="L70" i="1"/>
  <c r="L20" i="1"/>
  <c r="L17" i="1"/>
  <c r="L14" i="1"/>
  <c r="L11" i="1"/>
  <c r="L3" i="1"/>
  <c r="D11" i="2"/>
  <c r="N72" i="1"/>
  <c r="O72" i="1"/>
  <c r="P72" i="1"/>
  <c r="Q72" i="1"/>
  <c r="M72" i="1"/>
  <c r="AF344" i="1"/>
  <c r="M344" i="1"/>
  <c r="M358" i="1"/>
  <c r="M355" i="1"/>
  <c r="M352" i="1"/>
  <c r="M347" i="1"/>
  <c r="M329" i="1"/>
  <c r="M328" i="1"/>
  <c r="M322" i="1"/>
  <c r="M323" i="1" s="1"/>
  <c r="M316" i="1"/>
  <c r="M312" i="1"/>
  <c r="M313" i="1" s="1"/>
  <c r="M309" i="1"/>
  <c r="M300" i="1"/>
  <c r="M295" i="1"/>
  <c r="M290" i="1"/>
  <c r="M284" i="1"/>
  <c r="M283" i="1"/>
  <c r="M280" i="1"/>
  <c r="M279" i="1"/>
  <c r="M274" i="1"/>
  <c r="M271" i="1"/>
  <c r="M264" i="1"/>
  <c r="M261" i="1"/>
  <c r="M256" i="1"/>
  <c r="M253" i="1"/>
  <c r="M252" i="1"/>
  <c r="M248" i="1"/>
  <c r="M236" i="1"/>
  <c r="M232" i="1"/>
  <c r="M233" i="1" s="1"/>
  <c r="M228" i="1"/>
  <c r="M229" i="1" s="1"/>
  <c r="M221" i="1"/>
  <c r="M223" i="1" s="1"/>
  <c r="M209" i="1"/>
  <c r="M206" i="1"/>
  <c r="M200" i="1"/>
  <c r="M202" i="1" s="1"/>
  <c r="M196" i="1"/>
  <c r="M183" i="1"/>
  <c r="M185" i="1" s="1"/>
  <c r="M180" i="1"/>
  <c r="M179" i="1"/>
  <c r="M176" i="1"/>
  <c r="M175" i="1"/>
  <c r="M172" i="1"/>
  <c r="M169" i="1"/>
  <c r="M166" i="1"/>
  <c r="M164" i="1"/>
  <c r="M161" i="1"/>
  <c r="M160" i="1"/>
  <c r="M157" i="1"/>
  <c r="M154" i="1"/>
  <c r="M147" i="1"/>
  <c r="M144" i="1"/>
  <c r="M141" i="1"/>
  <c r="M138" i="1"/>
  <c r="M135" i="1"/>
  <c r="M131" i="1"/>
  <c r="M128" i="1"/>
  <c r="M125" i="1"/>
  <c r="M121" i="1"/>
  <c r="M117" i="1"/>
  <c r="M109" i="1"/>
  <c r="M106" i="1"/>
  <c r="M102" i="1"/>
  <c r="M98" i="1"/>
  <c r="M92" i="1"/>
  <c r="M88" i="1"/>
  <c r="M84" i="1"/>
  <c r="M81" i="1"/>
  <c r="M77" i="1"/>
  <c r="M70" i="1"/>
  <c r="M20" i="1"/>
  <c r="M17" i="1"/>
  <c r="M14" i="1"/>
  <c r="M11" i="1"/>
  <c r="M3" i="1"/>
  <c r="O344" i="1"/>
  <c r="N344" i="1"/>
  <c r="AF358" i="1"/>
  <c r="AF355" i="1"/>
  <c r="AF352" i="1"/>
  <c r="AF347" i="1"/>
  <c r="AF329" i="1"/>
  <c r="AF328" i="1"/>
  <c r="AF322" i="1"/>
  <c r="AF323" i="1" s="1"/>
  <c r="AF316" i="1"/>
  <c r="AF312" i="1"/>
  <c r="AF313" i="1" s="1"/>
  <c r="AF309" i="1"/>
  <c r="AF300" i="1"/>
  <c r="AF295" i="1"/>
  <c r="AF290" i="1"/>
  <c r="AF284" i="1"/>
  <c r="AF283" i="1"/>
  <c r="AF280" i="1"/>
  <c r="AF279" i="1"/>
  <c r="AF274" i="1"/>
  <c r="AF271" i="1"/>
  <c r="AF264" i="1"/>
  <c r="AF261" i="1"/>
  <c r="AF256" i="1"/>
  <c r="AF253" i="1"/>
  <c r="AF252" i="1"/>
  <c r="AF248" i="1"/>
  <c r="AF236" i="1"/>
  <c r="AF232" i="1"/>
  <c r="AF233" i="1" s="1"/>
  <c r="AF228" i="1"/>
  <c r="AF229" i="1" s="1"/>
  <c r="AF221" i="1"/>
  <c r="AF223" i="1" s="1"/>
  <c r="AF213" i="1"/>
  <c r="AF209" i="1"/>
  <c r="AF206" i="1"/>
  <c r="AF200" i="1"/>
  <c r="AF202" i="1" s="1"/>
  <c r="AF196" i="1"/>
  <c r="AF183" i="1"/>
  <c r="AF185" i="1" s="1"/>
  <c r="AF180" i="1"/>
  <c r="AF179" i="1"/>
  <c r="AF176" i="1"/>
  <c r="AF175" i="1"/>
  <c r="AF172" i="1"/>
  <c r="AF169" i="1"/>
  <c r="AF166" i="1"/>
  <c r="AF164" i="1"/>
  <c r="AF161" i="1"/>
  <c r="AF160" i="1"/>
  <c r="AF157" i="1"/>
  <c r="AF154" i="1"/>
  <c r="AF147" i="1"/>
  <c r="AF144" i="1"/>
  <c r="AF141" i="1"/>
  <c r="AF138" i="1"/>
  <c r="AF135" i="1"/>
  <c r="AF131" i="1"/>
  <c r="AF128" i="1"/>
  <c r="AF125" i="1"/>
  <c r="AF121" i="1"/>
  <c r="AF117" i="1"/>
  <c r="AF109" i="1"/>
  <c r="AF106" i="1"/>
  <c r="AF102" i="1"/>
  <c r="AF98" i="1"/>
  <c r="AF92" i="1"/>
  <c r="AF88" i="1"/>
  <c r="AF84" i="1"/>
  <c r="AF81" i="1"/>
  <c r="AF77" i="1"/>
  <c r="AF70" i="1"/>
  <c r="AF20" i="1"/>
  <c r="AF17" i="1"/>
  <c r="AF14" i="1"/>
  <c r="AF11" i="1"/>
  <c r="AF3" i="1"/>
  <c r="N358" i="1"/>
  <c r="N355" i="1"/>
  <c r="N352" i="1"/>
  <c r="N347" i="1"/>
  <c r="N329" i="1"/>
  <c r="N328" i="1"/>
  <c r="N322" i="1"/>
  <c r="N323" i="1" s="1"/>
  <c r="N316" i="1"/>
  <c r="N312" i="1"/>
  <c r="N313" i="1" s="1"/>
  <c r="N309" i="1"/>
  <c r="N300" i="1"/>
  <c r="N295" i="1"/>
  <c r="N290" i="1"/>
  <c r="N284" i="1"/>
  <c r="N283" i="1"/>
  <c r="N280" i="1"/>
  <c r="N279" i="1"/>
  <c r="N274" i="1"/>
  <c r="N271" i="1"/>
  <c r="N264" i="1"/>
  <c r="N261" i="1"/>
  <c r="N256" i="1"/>
  <c r="N253" i="1"/>
  <c r="N252" i="1"/>
  <c r="N248" i="1"/>
  <c r="N236" i="1"/>
  <c r="N232" i="1"/>
  <c r="N233" i="1" s="1"/>
  <c r="N228" i="1"/>
  <c r="N229" i="1" s="1"/>
  <c r="N221" i="1"/>
  <c r="N223" i="1" s="1"/>
  <c r="N209" i="1"/>
  <c r="N206" i="1"/>
  <c r="N200" i="1"/>
  <c r="N202" i="1" s="1"/>
  <c r="N196" i="1"/>
  <c r="N183" i="1"/>
  <c r="N185" i="1" s="1"/>
  <c r="N180" i="1"/>
  <c r="N179" i="1"/>
  <c r="N176" i="1"/>
  <c r="N175" i="1"/>
  <c r="N172" i="1"/>
  <c r="N169" i="1"/>
  <c r="N166" i="1"/>
  <c r="N164" i="1"/>
  <c r="N161" i="1"/>
  <c r="N160" i="1"/>
  <c r="N157" i="1"/>
  <c r="N154" i="1"/>
  <c r="N147" i="1"/>
  <c r="N144" i="1"/>
  <c r="N141" i="1"/>
  <c r="N138" i="1"/>
  <c r="N135" i="1"/>
  <c r="N131" i="1"/>
  <c r="N128" i="1"/>
  <c r="N125" i="1"/>
  <c r="N121" i="1"/>
  <c r="N117" i="1"/>
  <c r="N109" i="1"/>
  <c r="N106" i="1"/>
  <c r="N102" i="1"/>
  <c r="N98" i="1"/>
  <c r="N92" i="1"/>
  <c r="N88" i="1"/>
  <c r="N84" i="1"/>
  <c r="N81" i="1"/>
  <c r="N77" i="1"/>
  <c r="N70" i="1"/>
  <c r="N20" i="1"/>
  <c r="N17" i="1"/>
  <c r="N14" i="1"/>
  <c r="N11" i="1"/>
  <c r="N3" i="1"/>
  <c r="P180" i="1"/>
  <c r="Q180" i="1"/>
  <c r="O180" i="1"/>
  <c r="P176" i="1"/>
  <c r="Q176" i="1"/>
  <c r="O176" i="1"/>
  <c r="O209" i="1"/>
  <c r="O14" i="1"/>
  <c r="O3" i="1"/>
  <c r="O20" i="1"/>
  <c r="O17" i="1"/>
  <c r="P300" i="1"/>
  <c r="O300" i="1"/>
  <c r="P295" i="1"/>
  <c r="O295" i="1"/>
  <c r="P290" i="1"/>
  <c r="O290" i="1"/>
  <c r="P352" i="1"/>
  <c r="Q352" i="1"/>
  <c r="O352" i="1"/>
  <c r="P309" i="1"/>
  <c r="Q309" i="1"/>
  <c r="O309" i="1"/>
  <c r="P253" i="1"/>
  <c r="Q253" i="1"/>
  <c r="O253" i="1"/>
  <c r="O11" i="1"/>
  <c r="O70" i="1"/>
  <c r="O347" i="1"/>
  <c r="P329" i="1"/>
  <c r="Q329" i="1"/>
  <c r="O329" i="1"/>
  <c r="O358" i="1"/>
  <c r="P280" i="1"/>
  <c r="Q280" i="1"/>
  <c r="O280" i="1"/>
  <c r="P284" i="1"/>
  <c r="Q284" i="1"/>
  <c r="O284" i="1"/>
  <c r="O355" i="1"/>
  <c r="O154" i="1"/>
  <c r="O169" i="1"/>
  <c r="P166" i="1"/>
  <c r="Q166" i="1"/>
  <c r="O166" i="1"/>
  <c r="O172" i="1"/>
  <c r="P161" i="1"/>
  <c r="Q161" i="1"/>
  <c r="O161" i="1"/>
  <c r="P196" i="1"/>
  <c r="Q196" i="1"/>
  <c r="O196" i="1"/>
  <c r="P179" i="1"/>
  <c r="Q179" i="1"/>
  <c r="O179" i="1"/>
  <c r="P183" i="1"/>
  <c r="P185" i="1" s="1"/>
  <c r="Q183" i="1"/>
  <c r="Q185" i="1" s="1"/>
  <c r="O183" i="1"/>
  <c r="O185" i="1" s="1"/>
  <c r="P175" i="1"/>
  <c r="Q175" i="1"/>
  <c r="O175" i="1"/>
  <c r="P106" i="1"/>
  <c r="Q106" i="1"/>
  <c r="O106" i="1"/>
  <c r="P92" i="1"/>
  <c r="Q92" i="1"/>
  <c r="O92" i="1"/>
  <c r="P102" i="1"/>
  <c r="Q102" i="1"/>
  <c r="O102" i="1"/>
  <c r="P98" i="1"/>
  <c r="Q98" i="1"/>
  <c r="O98" i="1"/>
  <c r="P88" i="1"/>
  <c r="Q88" i="1"/>
  <c r="O88" i="1"/>
  <c r="P77" i="1"/>
  <c r="Q77" i="1"/>
  <c r="O77" i="1"/>
  <c r="P84" i="1"/>
  <c r="Q84" i="1"/>
  <c r="O84" i="1"/>
  <c r="P271" i="1"/>
  <c r="Q271" i="1"/>
  <c r="O271" i="1"/>
  <c r="P157" i="1"/>
  <c r="Q157" i="1"/>
  <c r="O157" i="1"/>
  <c r="P264" i="1"/>
  <c r="Q264" i="1"/>
  <c r="O264" i="1"/>
  <c r="P81" i="1"/>
  <c r="Q81" i="1"/>
  <c r="O81" i="1"/>
  <c r="P274" i="1"/>
  <c r="Q274" i="1"/>
  <c r="O274" i="1"/>
  <c r="P316" i="1"/>
  <c r="Q316" i="1"/>
  <c r="O316" i="1"/>
  <c r="P322" i="1"/>
  <c r="P323" i="1" s="1"/>
  <c r="Q322" i="1"/>
  <c r="Q323" i="1" s="1"/>
  <c r="O322" i="1"/>
  <c r="O323" i="1" s="1"/>
  <c r="P312" i="1"/>
  <c r="P313" i="1" s="1"/>
  <c r="Q312" i="1"/>
  <c r="Q313" i="1" s="1"/>
  <c r="O312" i="1"/>
  <c r="O313" i="1" s="1"/>
  <c r="P206" i="1"/>
  <c r="O206" i="1"/>
  <c r="P125" i="1"/>
  <c r="Q125" i="1"/>
  <c r="O125" i="1"/>
  <c r="P121" i="1"/>
  <c r="Q121" i="1"/>
  <c r="O121" i="1"/>
  <c r="P131" i="1"/>
  <c r="Q131" i="1"/>
  <c r="O131" i="1"/>
  <c r="P128" i="1"/>
  <c r="Q128" i="1"/>
  <c r="O128" i="1"/>
  <c r="P117" i="1"/>
  <c r="Q117" i="1"/>
  <c r="O117" i="1"/>
  <c r="P141" i="1"/>
  <c r="Q141" i="1"/>
  <c r="O141" i="1"/>
  <c r="P138" i="1"/>
  <c r="Q138" i="1"/>
  <c r="O138" i="1"/>
  <c r="P144" i="1"/>
  <c r="Q144" i="1"/>
  <c r="O144" i="1"/>
  <c r="P147" i="1"/>
  <c r="Q147" i="1"/>
  <c r="O147" i="1"/>
  <c r="P135" i="1"/>
  <c r="Q135" i="1"/>
  <c r="O135" i="1"/>
  <c r="P160" i="1"/>
  <c r="Q160" i="1"/>
  <c r="O160" i="1"/>
  <c r="P109" i="1"/>
  <c r="Q109" i="1"/>
  <c r="O109" i="1"/>
  <c r="P283" i="1"/>
  <c r="Q283" i="1"/>
  <c r="O283" i="1"/>
  <c r="P279" i="1"/>
  <c r="Q279" i="1"/>
  <c r="O279" i="1"/>
  <c r="P261" i="1"/>
  <c r="Q261" i="1"/>
  <c r="O261" i="1"/>
  <c r="P256" i="1"/>
  <c r="Q256" i="1"/>
  <c r="O256" i="1"/>
  <c r="P252" i="1"/>
  <c r="Q252" i="1"/>
  <c r="O252" i="1"/>
  <c r="P328" i="1"/>
  <c r="Q328" i="1"/>
  <c r="O328" i="1"/>
  <c r="P248" i="1"/>
  <c r="Q248" i="1"/>
  <c r="O248" i="1"/>
  <c r="P164" i="1"/>
  <c r="Q164" i="1"/>
  <c r="O164" i="1"/>
  <c r="P221" i="1"/>
  <c r="P223" i="1" s="1"/>
  <c r="Q221" i="1"/>
  <c r="Q223" i="1" s="1"/>
  <c r="O221" i="1"/>
  <c r="O223" i="1" s="1"/>
  <c r="Q232" i="1"/>
  <c r="Q233" i="1" s="1"/>
  <c r="P232" i="1"/>
  <c r="P233" i="1" s="1"/>
  <c r="O232" i="1"/>
  <c r="O233" i="1" s="1"/>
  <c r="O228" i="1"/>
  <c r="O229" i="1" s="1"/>
  <c r="Q228" i="1"/>
  <c r="Q229" i="1" s="1"/>
  <c r="P228" i="1"/>
  <c r="P229" i="1" s="1"/>
  <c r="P236" i="1"/>
  <c r="Q236" i="1"/>
  <c r="O236" i="1"/>
  <c r="P200" i="1"/>
  <c r="P202" i="1" s="1"/>
  <c r="Q200" i="1"/>
  <c r="Q202" i="1" s="1"/>
  <c r="O200" i="1"/>
  <c r="O202" i="1" s="1"/>
  <c r="E27" i="1" l="1"/>
  <c r="D9" i="7"/>
  <c r="G9" i="7" s="1"/>
  <c r="H9" i="7" s="1"/>
  <c r="F185" i="1"/>
  <c r="D7" i="7"/>
  <c r="G7" i="7" s="1"/>
  <c r="F229" i="1"/>
  <c r="D10" i="7"/>
  <c r="G10" i="7" s="1"/>
  <c r="H10" i="7" s="1"/>
  <c r="D16" i="7"/>
  <c r="G16" i="7" s="1"/>
  <c r="H16" i="7" s="1"/>
  <c r="D21" i="7"/>
  <c r="G21" i="7" s="1"/>
  <c r="H21" i="7" s="1"/>
  <c r="F202" i="1"/>
  <c r="D27" i="7"/>
  <c r="G27" i="7" s="1"/>
  <c r="H27" i="7" s="1"/>
  <c r="D19" i="7"/>
  <c r="G19" i="7" s="1"/>
  <c r="H19" i="7" s="1"/>
  <c r="D17" i="7"/>
  <c r="G17" i="7" s="1"/>
  <c r="H17" i="7" s="1"/>
  <c r="D23" i="7"/>
  <c r="G23" i="7" s="1"/>
  <c r="H23" i="7" s="1"/>
  <c r="D8" i="7"/>
  <c r="G8" i="7" s="1"/>
  <c r="H8" i="7" s="1"/>
  <c r="D20" i="7"/>
  <c r="G20" i="7" s="1"/>
  <c r="H20" i="7" s="1"/>
  <c r="D18" i="7"/>
  <c r="G18" i="7" s="1"/>
  <c r="H18" i="7" s="1"/>
  <c r="D11" i="7"/>
  <c r="G11" i="7" s="1"/>
  <c r="H11" i="7" s="1"/>
  <c r="E225" i="1"/>
  <c r="B6" i="2"/>
  <c r="B9" i="2" s="1"/>
  <c r="G6" i="2"/>
  <c r="G9" i="2" s="1"/>
  <c r="H6" i="2"/>
  <c r="H9" i="2" s="1"/>
  <c r="I6" i="2"/>
  <c r="I9" i="2" s="1"/>
  <c r="D6" i="2"/>
  <c r="D9" i="2" s="1"/>
  <c r="F225" i="1"/>
  <c r="F27" i="1"/>
  <c r="J6" i="2"/>
  <c r="J9" i="2" s="1"/>
  <c r="C6" i="2"/>
  <c r="C9" i="2" s="1"/>
  <c r="G27" i="1"/>
  <c r="G225" i="1"/>
  <c r="F6" i="2"/>
  <c r="F9" i="2" s="1"/>
  <c r="E6" i="2"/>
  <c r="E9" i="2" s="1"/>
  <c r="H27" i="1"/>
  <c r="H225" i="1"/>
  <c r="J27" i="1"/>
  <c r="J225" i="1"/>
  <c r="K225" i="1"/>
  <c r="L225" i="1"/>
  <c r="M225" i="1"/>
  <c r="AF225" i="1"/>
  <c r="N225" i="1"/>
  <c r="O225" i="1"/>
  <c r="Q225" i="1"/>
  <c r="P225" i="1"/>
  <c r="H7" i="7" l="1"/>
  <c r="H32" i="7" s="1"/>
  <c r="B34" i="7" s="1"/>
  <c r="B35" i="7" s="1"/>
  <c r="G32" i="7"/>
  <c r="B15" i="2"/>
  <c r="C15" i="2" s="1"/>
  <c r="D15" i="2" s="1"/>
  <c r="E15" i="2" l="1"/>
  <c r="F15" i="2" s="1"/>
  <c r="L3" i="2"/>
</calcChain>
</file>

<file path=xl/sharedStrings.xml><?xml version="1.0" encoding="utf-8"?>
<sst xmlns="http://schemas.openxmlformats.org/spreadsheetml/2006/main" count="569" uniqueCount="443">
  <si>
    <t>Мышьяк (сыворотка), &lt;0,01 мкг/мл</t>
  </si>
  <si>
    <t>Селен (сыворотка), 0.07 — 0.12 мкг/мл</t>
  </si>
  <si>
    <t>Ртуть (кровь), &lt; 0,01 мкг/мл</t>
  </si>
  <si>
    <t>Свинец (кровь), &lt; 0,1 мкг/мл</t>
  </si>
  <si>
    <t>Альфа-линоленовая кислота (ALA), с18:3w3, 20 — 200 нмоль/мл</t>
  </si>
  <si>
    <t>Эйкозапентаеновая кислота (EPA), c20:5w3, 8 — 130 нмоль/мл</t>
  </si>
  <si>
    <t>Докозагексаеновая кислота (DHA), с22:6w3, 45 — 365 нмоль/мл</t>
  </si>
  <si>
    <t>Линолевая кислота (LA), с18:2w6, 1210 — 4300 нмоль/мл</t>
  </si>
  <si>
    <t>Гамма-линоленовая кислота (GLA), с18:3w6, 10 — 120 нмоль/мл</t>
  </si>
  <si>
    <t>Дигомо-гамма-линоленовая кислота (DHGLA), с20:3w6, 45 — 340 нмоль/мл</t>
  </si>
  <si>
    <t>Арахидоновая кислота (AA), c20:4w6, 310 — 1420 нмоль/мл</t>
  </si>
  <si>
    <t>Докозатетраеновая кислота (DTA), с22:4w6, 10 — 40 нмоль/мл</t>
  </si>
  <si>
    <t>Докозапентаеновая кислота (DPA), с22:5w6, 6 — 55 нмоль/мл</t>
  </si>
  <si>
    <t>Гексадеценовая кистота, C16:1w9, 14 — 95 нмоль/мл</t>
  </si>
  <si>
    <t>Олеиновая кислота, C18:1w9, 740 — 3900 нмоль/мл</t>
  </si>
  <si>
    <t>Мидовая кислота, C20:3w9, 1 — 35 нмоль/мл</t>
  </si>
  <si>
    <t>Селахолиевая кислота, C24:1w9, 35 — 145 нмоль/мл</t>
  </si>
  <si>
    <t>Соотношение триеновых и тетраеновых жирных кислот (индекс Holman), 0.004 — 0.051</t>
  </si>
  <si>
    <t>Гематокрит, 39.0 — 50.0 %</t>
  </si>
  <si>
    <t>Гемоглобин, 13.1 — 17.2 г/дл</t>
  </si>
  <si>
    <t>Эритроциты, 4.20 — 5.60 млн/мкл</t>
  </si>
  <si>
    <t>MCV (ср. объем эритр.), 81.0 — 101.0 фл</t>
  </si>
  <si>
    <t>RDW (шир. распред. эритр), 11.6 — 14.8 %</t>
  </si>
  <si>
    <t>MCH (ср. содер. Hb в эр.), 27.0 — 35.0 пг</t>
  </si>
  <si>
    <t>МСHС (ср. конц. Hb в эр.), 32.0 — 36.0 г/дл</t>
  </si>
  <si>
    <t>Тромбоциты, 150 — 400 тыс/мкл</t>
  </si>
  <si>
    <t>Лейкоциты, 4.50 — 11.00 тыс/мкл</t>
  </si>
  <si>
    <t>Нейтрофилы (общ.число), 48.0 — 78.0 %</t>
  </si>
  <si>
    <t>Лимфоциты, 19.0 — 37.0 %</t>
  </si>
  <si>
    <t>Моноциты, 3.0 — 11.0 %</t>
  </si>
  <si>
    <t>Эозинофилы, 1.0 — 5.0 %</t>
  </si>
  <si>
    <t>Базофилы, &lt; 1.0%</t>
  </si>
  <si>
    <t>Нейтрофилы, 1.78 — 5.38 тыс/мкл</t>
  </si>
  <si>
    <t>Лимфоциты, 1.32 — 3.57 тыс/мкл</t>
  </si>
  <si>
    <t>Моноциты, 0.20 — 0.95 тыс/мкл</t>
  </si>
  <si>
    <t>Эозинофилы, 0.00 — 0.70 тыс/мкл</t>
  </si>
  <si>
    <t>Базофилы, 0.00 — 0.20 тыс/мкл</t>
  </si>
  <si>
    <t>Гомоцистеин, 5.46 — 16.20 мкмоль/л</t>
  </si>
  <si>
    <t>Общая железосвязывающая способность, 44.8 — 76.3 мкмоль/л</t>
  </si>
  <si>
    <t>СРБ высокочувствительный (кардиориск), &lt;1,0 мг/л</t>
  </si>
  <si>
    <t>HbA1c (гликированный Hb), %</t>
  </si>
  <si>
    <t>Индекс инсулинорезист-сти (HOMA), &lt;2.7</t>
  </si>
  <si>
    <t>Инсулин, 2.7 — 10.4 мкЕд/мл</t>
  </si>
  <si>
    <t>АлАТ, &lt; 41 Ед/л</t>
  </si>
  <si>
    <t>АсАТ, &lt; 37 Ед/л</t>
  </si>
  <si>
    <t>Альбумин, 35 — 52 г/л</t>
  </si>
  <si>
    <t>Гамма-ГТ, &lt; 49 Ед/л</t>
  </si>
  <si>
    <t>Глюкоза, 4.1 — 6.0 ммоль/л</t>
  </si>
  <si>
    <t>Креатинкиназа, &lt; 190 Ед/л</t>
  </si>
  <si>
    <t>Креатинин, 64 — 104 мкмоль/л</t>
  </si>
  <si>
    <t>Триглицериды, &lt;1,7 ммоль/л</t>
  </si>
  <si>
    <t>Холестерин, &lt;5.0 ммоль/л</t>
  </si>
  <si>
    <t>Холестерин-ЛПВП, &gt;1,0 ммоль/л</t>
  </si>
  <si>
    <t>Холестерин-ЛПНП (по Фридвальду), &lt;3,0 ммоль/л</t>
  </si>
  <si>
    <t>Коэффициент атерогенности, 2.0 — 3.0</t>
  </si>
  <si>
    <t>Кальций, 2.10 — 2.55 ммоль/л</t>
  </si>
  <si>
    <t>Калий, 3.5 — 5.1 ммоль/л</t>
  </si>
  <si>
    <t>Натрий, 136 — 145 ммоль/л</t>
  </si>
  <si>
    <t>Магний, 0.66 — 1.07 ммоль/л</t>
  </si>
  <si>
    <t>Железо, 11.6 — 31.3 мкмоль/л</t>
  </si>
  <si>
    <t>% насыщения трансферрина, 15 — 50 %</t>
  </si>
  <si>
    <t>Ферритин, 20 — 250 мкг/л</t>
  </si>
  <si>
    <t>Витамин В12, 187 — 883 пг/мл</t>
  </si>
  <si>
    <t>Фолиевая кислота, 3.1 — 20.5 нг/мл</t>
  </si>
  <si>
    <t>T3 свободный, 3.0 — 5.6 пмоль/л</t>
  </si>
  <si>
    <t>Т4 свободный, 9.00 — 19.05 пмоль/л</t>
  </si>
  <si>
    <t>ТТГ, 0.4 — 4.0 мЕд/л</t>
  </si>
  <si>
    <t>ДЭА - SO4, 3.7 — 12.1 мкмоль/л</t>
  </si>
  <si>
    <t>ГСПГ, 16.2 — 68.5 нмоль/л</t>
  </si>
  <si>
    <t>Кортизол, 101,2 - 535,7 нмоль/л</t>
  </si>
  <si>
    <t>Витамин 25(ОН) D, 30-100</t>
  </si>
  <si>
    <t>Витамин А (ретинол), 0.30 — 0.80 мкг/мл</t>
  </si>
  <si>
    <t>Витамин E (альфа-токоферол), 5.0 — 18.0 мкг/мл</t>
  </si>
  <si>
    <t>Свободный тестостерон, 1.00 — 28.28 пг/мл</t>
  </si>
  <si>
    <t>Тестостерон, 12 — 42.0 нмоль/л</t>
  </si>
  <si>
    <t>InsideTracker, Glucose, 65 - 89 mg/dL</t>
  </si>
  <si>
    <t>InsideTracker, HbA1c, 3 - 5.2</t>
  </si>
  <si>
    <t>InsideTracker, Triglycerides, &lt; 87 mg/dL</t>
  </si>
  <si>
    <t>InsideTracker, Total cholesterol, 125 - 195 mg/dL</t>
  </si>
  <si>
    <t>InsideTracker, HDL, 54 - 77 mg/dL</t>
  </si>
  <si>
    <t>InsideTracker, LDL, &lt; 94 mg/dL</t>
  </si>
  <si>
    <t>InsideTracker, Vitamin D, 32 - 100 ng/mL</t>
  </si>
  <si>
    <t>InsideTracker, Calcium, 8.6 - 10.3 mg/dL</t>
  </si>
  <si>
    <t>InsideTracker, Potassium, 3.6 - 4.8 mmol/L</t>
  </si>
  <si>
    <t>InsideTracker, Sodium, 137 - 145 mmol/L</t>
  </si>
  <si>
    <t>InsideTracker, Magnesium, 2.0 - 2.5 mg/dL</t>
  </si>
  <si>
    <t>InsideTracker, Vitamin B12, 488 - 779 pg/mL</t>
  </si>
  <si>
    <t>InsideTracker, Folate, 5.3 - 40 ng/mL</t>
  </si>
  <si>
    <t>InsideTracker, hsCRP,  &lt; 0.7 mg/L</t>
  </si>
  <si>
    <t>InsideTracker, Basophils, &lt; 200 cells/µL</t>
  </si>
  <si>
    <t>InsideTracker, Eosinophils, 15 - 500 cells/µL</t>
  </si>
  <si>
    <t>InsideTracker, Monocytes, 200 - 950 cells/µL</t>
  </si>
  <si>
    <t>InsideTracker, Lymphocytes, 850 - 3900 cells/µL</t>
  </si>
  <si>
    <t>InsideTracker, Neutrophils, 1500 - 7800 cells/µL</t>
  </si>
  <si>
    <t>InsideTracker, Basophils (percent), &lt; 2 %</t>
  </si>
  <si>
    <t>InsideTracker, Eosinophils (percent), &lt; 7 %</t>
  </si>
  <si>
    <t>InsideTracker, Monocytes (percent), 4 - 12 %</t>
  </si>
  <si>
    <t>InsideTracker, Lymphocytes (percent), 16 - 47 %</t>
  </si>
  <si>
    <t>InsideTracker, Neutrophils (percent), 39 - 75 %</t>
  </si>
  <si>
    <t>InsideTracker, White blood cells, 3.8 - 6.6 thousands/uL</t>
  </si>
  <si>
    <t>InsideTracker, Cortisol, 5 - 16.8 µg/dL</t>
  </si>
  <si>
    <t>InsideTracker, SHBG, 28 - 49 nmol/L</t>
  </si>
  <si>
    <t>InsideTracker, Testosterone, 518 - 1100 ng/dL</t>
  </si>
  <si>
    <t>InsideTracker, Creatine kinase, 44 - 196 U/L</t>
  </si>
  <si>
    <t>InsideTracker, TS, 26 - 40 %</t>
  </si>
  <si>
    <t>InsideTracker, Ferritin, 60 - 150 ng/mL</t>
  </si>
  <si>
    <t>InsideTracker, Iron, 77 - 112 ug/dL</t>
  </si>
  <si>
    <t>InsideTracker, TIBC, 250 - 425 ug/dL</t>
  </si>
  <si>
    <t>InsideTracker, Hemoglobin, 14.9 - 17.1 g/dL</t>
  </si>
  <si>
    <t>InsideTracker, Platelets, 140 - 400 thousands/uL</t>
  </si>
  <si>
    <t>InsideTracker, MCHC, 32 - 36 g/dL</t>
  </si>
  <si>
    <t>InsideTracker, MCH, 27 - 33 pg</t>
  </si>
  <si>
    <t>InsideTracker, RDW, 11 - 15 %</t>
  </si>
  <si>
    <t>InsideTracker, MCV, 80 - 100 fL</t>
  </si>
  <si>
    <t>InsideTracker, Red blood cells, 4.2 - 5.8 10E6/µL</t>
  </si>
  <si>
    <t>InsideTracker, Hematocrit, 38.5 - 50 %</t>
  </si>
  <si>
    <t>InsideTracker, GGT, 3 - 18 U/L</t>
  </si>
  <si>
    <t>InsideTracker, Albumin, 3.6 - 5.1 g/dL</t>
  </si>
  <si>
    <t>InsideTracker, AST, 10 - 25 U/L</t>
  </si>
  <si>
    <t>InsideTracker, ALT, 9 - 24 U/L</t>
  </si>
  <si>
    <t>InnerAge, lower - younger</t>
  </si>
  <si>
    <t>InnerAge, higher - younger</t>
  </si>
  <si>
    <t>Bredesen, hs-CRP,  &lt; 0.9 mg/L</t>
  </si>
  <si>
    <t>Bredesen, Fasting insulin, 3.0-5.0 μU/mL</t>
  </si>
  <si>
    <t>Bredesen, Glucose, 70 - 90 mg/dL</t>
  </si>
  <si>
    <t>Bredesen, Hemoglobin A1c, 4.0-5.3 %</t>
  </si>
  <si>
    <t>Bredesen, HOMA-IR, &lt;1.2</t>
  </si>
  <si>
    <t>Bredesen, Homocysteine, ≤7μmol/L</t>
  </si>
  <si>
    <t>Витамин С (аскорбиновая кислота), 4.0 — 15.0 мкг/мл</t>
  </si>
  <si>
    <t>Bredesen, Vitamin B6, 25-50 mcg/L</t>
  </si>
  <si>
    <r>
      <t>Bredesen, Vitamin B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(folate), 10-25 ng/mL</t>
    </r>
  </si>
  <si>
    <t>Bredesen, Vitamin B12, 500-1500 pg/mL</t>
  </si>
  <si>
    <t>Bredesen, Vitamin C, 1.3-2.5 mg/dL</t>
  </si>
  <si>
    <t>Bredesen, Vitamin D, 50 - 80 ng/mL</t>
  </si>
  <si>
    <t>Bredesen, Vitamin E, 12-20 mg/L</t>
  </si>
  <si>
    <t>Bredesen, AA to EPA ratio (arachidonic acid to eicosapentaenoic acid ratio), &lt;3:1</t>
  </si>
  <si>
    <t xml:space="preserve">Bredesen, Albumin, 4.5-5.4 g/dL </t>
  </si>
  <si>
    <t>Bredesen, Total cholesterol, 150 - 200 mg/dL</t>
  </si>
  <si>
    <t>Bredesen, HDL cholesterol, &gt;50 mg/dL</t>
  </si>
  <si>
    <t>Bredesen, Triglycerides, &lt; 150 mg/dL</t>
  </si>
  <si>
    <t xml:space="preserve">Bredesen, TG to HDL ratio, &lt;1.1 </t>
  </si>
  <si>
    <t>Bredesen, Potassium, 4.5 - 5.5 mmol/L</t>
  </si>
  <si>
    <t>Bredesen, Cortisol, 10 - 18 µg/dL</t>
  </si>
  <si>
    <t>Bredesen, DHEA-S, 150-500 mcg/dL</t>
  </si>
  <si>
    <t>Bredesen, Testosterone, 500 - 1000 ng/dL</t>
  </si>
  <si>
    <t>Bredesen, Free Testosterone, 18-26 pg/ml</t>
  </si>
  <si>
    <t>Bredesen, Free T3, 3.2-4.2 pg/mL</t>
  </si>
  <si>
    <t>Bredesen, Free T4, 1.3-1.8 ng/dL</t>
  </si>
  <si>
    <t>Bredesen, TSH, &lt;2.0 mIU/L</t>
  </si>
  <si>
    <t>Bredesen, Mercury, &lt;5 mcg/L</t>
  </si>
  <si>
    <t>Bredesen, Lead, &lt;2 mcg/dL</t>
  </si>
  <si>
    <t>Bredesen, Arsenic, &lt;7 mcg/L</t>
  </si>
  <si>
    <t>Bredesen, Cadmium, &lt;2.5 mcg/dL</t>
  </si>
  <si>
    <t>Кадмий (кровь), &lt; 0,00015 мкг/мл</t>
  </si>
  <si>
    <t>Bredesen, BUN – blood urea nitrogen, &lt;20 mg/dL</t>
  </si>
  <si>
    <t xml:space="preserve">Bredesen, Creatinine, &lt;1.0 mg/dL </t>
  </si>
  <si>
    <t>Bredesen, ALT, &lt; 25 U/L</t>
  </si>
  <si>
    <t>Bredesen, AST, &lt; 25 U/L</t>
  </si>
  <si>
    <t>Bredesen, Retinol, 38-98 mcg/dL</t>
  </si>
  <si>
    <t>Weight, kg</t>
  </si>
  <si>
    <t>Plasma Omega-3 index</t>
  </si>
  <si>
    <t>Harris, lower - better</t>
  </si>
  <si>
    <t>Levine Phenotypic Age</t>
  </si>
  <si>
    <t>"A New Epigenetic Clock for Aging and Life Expectancy", Talk by Morgan Levine</t>
  </si>
  <si>
    <t>Def.</t>
  </si>
  <si>
    <t>Albumin</t>
  </si>
  <si>
    <t>Creatinine</t>
  </si>
  <si>
    <t xml:space="preserve"> Glucose</t>
  </si>
  <si>
    <t>CRP</t>
  </si>
  <si>
    <t xml:space="preserve"> Lympocyte</t>
  </si>
  <si>
    <t>Mean Cell Volume</t>
  </si>
  <si>
    <t xml:space="preserve"> Red Cell Dist Width</t>
  </si>
  <si>
    <t xml:space="preserve"> Alkaline Phosphatase</t>
  </si>
  <si>
    <t>White Blood Cells</t>
  </si>
  <si>
    <t xml:space="preserve"> Age</t>
  </si>
  <si>
    <t>Input</t>
  </si>
  <si>
    <t>Units</t>
  </si>
  <si>
    <t>mg/dL</t>
  </si>
  <si>
    <t>mg/L</t>
  </si>
  <si>
    <t xml:space="preserve"> %</t>
  </si>
  <si>
    <t xml:space="preserve"> fL</t>
  </si>
  <si>
    <t xml:space="preserve"> U/L</t>
  </si>
  <si>
    <r>
      <t>10^3 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</si>
  <si>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 xml:space="preserve"> years</t>
  </si>
  <si>
    <t>Conv</t>
  </si>
  <si>
    <t>cInput</t>
  </si>
  <si>
    <t xml:space="preserve"> cUnits</t>
  </si>
  <si>
    <t>g/L</t>
  </si>
  <si>
    <r>
      <t>m</t>
    </r>
    <r>
      <rPr>
        <sz val="11"/>
        <color theme="1"/>
        <rFont val="Calibri"/>
        <family val="2"/>
        <scheme val="minor"/>
      </rPr>
      <t>mol/L</t>
    </r>
  </si>
  <si>
    <t>mmol/L</t>
  </si>
  <si>
    <t>Ln(mg/dL)</t>
  </si>
  <si>
    <t>Wts</t>
  </si>
  <si>
    <t>Terms</t>
  </si>
  <si>
    <t>Calculation:</t>
  </si>
  <si>
    <t>t</t>
  </si>
  <si>
    <t>years</t>
  </si>
  <si>
    <t>months</t>
  </si>
  <si>
    <t>g</t>
  </si>
  <si>
    <t>b0</t>
  </si>
  <si>
    <t>LinComb</t>
  </si>
  <si>
    <t>MortScore</t>
  </si>
  <si>
    <t>Ptypic Age</t>
  </si>
  <si>
    <t>est. DNAm Age</t>
  </si>
  <si>
    <t>est. D MScore</t>
  </si>
  <si>
    <t>Results</t>
  </si>
  <si>
    <t>pAge, lower - younger</t>
  </si>
  <si>
    <t>Фосфатаза щелочная, 40 — 150 Ед/л</t>
  </si>
  <si>
    <t>Alkaline phosphatase, ALP, U/L</t>
  </si>
  <si>
    <t>Билирубин общий, 3.4 — 20.5 мкмоль/л</t>
  </si>
  <si>
    <t>Общий белок, 64 — 83 г/л</t>
  </si>
  <si>
    <t>Fuhrman, IGF-1, 100 - 160 ng/ml</t>
  </si>
  <si>
    <t>&lt; 5.0</t>
  </si>
  <si>
    <t>Mercola, Ferritin, 40 - 60 ng/mL</t>
  </si>
  <si>
    <t>75.8 74.4</t>
  </si>
  <si>
    <t>76.9 75.7</t>
  </si>
  <si>
    <t>Protein total, g/dL</t>
  </si>
  <si>
    <t>Bilirubin total, mg/dL</t>
  </si>
  <si>
    <t>Aging.AI3.0</t>
  </si>
  <si>
    <t>Медь (сыворотка), Copper, 0.75 — 1.50 мкг/мл</t>
  </si>
  <si>
    <t>Йод (сыворотка), Iodine, 0.05 — 0.10 мкг/мл</t>
  </si>
  <si>
    <t>Омега-3 индекс, Omega-3 index, &gt;8 %</t>
  </si>
  <si>
    <t>СОЭ, ESR, &lt; 15 мм/ч</t>
  </si>
  <si>
    <t>Трансферрин, Transferrin, 2.15 — 3.66 г/л</t>
  </si>
  <si>
    <t>Латентная железосвяз. Способность, Latent iron-binding capacity, 12.4 — 43.0 мкмоль/л</t>
  </si>
  <si>
    <t>ИСТ- индекс своб. Тестостерона, Free testosterone index, 24.5 — 113.3 %</t>
  </si>
  <si>
    <t>Лептин, Leptin, 0.5 — 13.8 нг/мл</t>
  </si>
  <si>
    <t>Цинк (кровь), Zinc (blood), 6.00 — 9.00 мкг/мл</t>
  </si>
  <si>
    <t>Bredesen, Zinc (serum), 100 mcg/dL</t>
  </si>
  <si>
    <t xml:space="preserve">Цинк, сыворотка (Zinc, Serum; Zn), 0,75-1,50 мкг/мл. </t>
  </si>
  <si>
    <t>Bredesen, Copper, 100 mcg/dL</t>
  </si>
  <si>
    <t>Bredesen, Zinc:Copper, 1</t>
  </si>
  <si>
    <t>ML, &lt; 12.5</t>
  </si>
  <si>
    <t>ML, 4.5 - 4.8</t>
  </si>
  <si>
    <t>ML, 80 - 94</t>
  </si>
  <si>
    <t>Longo, IGF-1, 120 - 160 ng/ml (150 optimal)</t>
  </si>
  <si>
    <t>Masterjohn, 18-22</t>
  </si>
  <si>
    <t>Glucose</t>
  </si>
  <si>
    <t>Alkaline Phosphatase</t>
  </si>
  <si>
    <t>g/dL</t>
  </si>
  <si>
    <t>Blood Marker</t>
  </si>
  <si>
    <t>Protein total</t>
  </si>
  <si>
    <t>Sodium</t>
  </si>
  <si>
    <t>Hemoglobin</t>
  </si>
  <si>
    <t>Bilirubin total</t>
  </si>
  <si>
    <t>Triglycerides</t>
  </si>
  <si>
    <t>HDL Cholesterol</t>
  </si>
  <si>
    <t>Calcium</t>
  </si>
  <si>
    <t>Potassium</t>
  </si>
  <si>
    <t>Hematocrit</t>
  </si>
  <si>
    <t>MCHC</t>
  </si>
  <si>
    <t>Platelets</t>
  </si>
  <si>
    <t>Erythrocytes (RBC)</t>
  </si>
  <si>
    <t>%</t>
  </si>
  <si>
    <r>
      <t>10^6 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</si>
  <si>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>Cholesterol total</t>
  </si>
  <si>
    <t>Homocysteine</t>
  </si>
  <si>
    <t>μmol/L</t>
  </si>
  <si>
    <t>AST</t>
  </si>
  <si>
    <t>ALT</t>
  </si>
  <si>
    <t>Neutrophils</t>
  </si>
  <si>
    <t>Lymphocytes</t>
  </si>
  <si>
    <t>LDL cholesterol</t>
  </si>
  <si>
    <t>Urea Nitrogen (BUN)</t>
  </si>
  <si>
    <t>Monocytes</t>
  </si>
  <si>
    <t>Mean Cell/Corpuscular Volume (MCV)</t>
  </si>
  <si>
    <t>Red Cell Dist Width (RDW)</t>
  </si>
  <si>
    <t>Билирубин непрямой, &lt;19.0 мкмоль/л</t>
  </si>
  <si>
    <t>Lymphocyte</t>
  </si>
  <si>
    <t>72.8 71.6</t>
  </si>
  <si>
    <t>Витамин В7, H (биотин), 0.221 - 3.004 нг/мл</t>
  </si>
  <si>
    <t>Витамин В3 (никотинамид), 5.2 - 72.1 нг/мл</t>
  </si>
  <si>
    <t>Витамин В5 (пантотеновая кислота), 0.037 - 0.147 мкг/мл</t>
  </si>
  <si>
    <t>Витамин В2 (рибофлавин), 40 - 240 нг/мл</t>
  </si>
  <si>
    <t>Витамин В1 (тиамин), 1.06 - 3.98 нг/мл</t>
  </si>
  <si>
    <t>Хлор, Chloride, 101 — 110 ммоль/л</t>
  </si>
  <si>
    <r>
      <t>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</si>
  <si>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>Марганец (кровь) (Manganese, blood; Mn), 0.007 - 0.015</t>
  </si>
  <si>
    <t>Билирубин прямой (Bilirubin direct), &lt;8.6 мкмоль/л</t>
  </si>
  <si>
    <t>Мочевая кислота (Uric acid), 210 — 420 мкмоль/л</t>
  </si>
  <si>
    <t>Холестерин не-ЛПВП (Non-HDL Cholesterol), &lt;3,8 ммоль/л</t>
  </si>
  <si>
    <t>Т3 общий (Total Triiodthyronine, TT3), 0.98 — 2.33 нмоль/л</t>
  </si>
  <si>
    <t>Т4 общий (Total Thyroxine, TT4), 62.68 — 150.84 нмоль/л</t>
  </si>
  <si>
    <t>Т3 реверсивный (Reverse T3; rT3), 92 - 241 пг/мл</t>
  </si>
  <si>
    <t>АТ-ТГ (Anti-Thyroglobulin Autoantibodies, Thyroglobulin Antibodies), &lt;18.0</t>
  </si>
  <si>
    <t>АТ-ТПО (Anti-Thyroid Peroxidase Autoantibodies), &lt; 5.6</t>
  </si>
  <si>
    <t>Паратгормон (Parathyroid Hormone, PTH), 1.45 — 10.41 пмоль/л</t>
  </si>
  <si>
    <t>Интерлейкин 1 бета (IL-1beta, Interleukin 1 beta, IL-1b) , &lt; 5.0</t>
  </si>
  <si>
    <t>Интерлейкин 6 (Interleukin 6, IL-6) , &lt; 7.0</t>
  </si>
  <si>
    <t>Цистатин С (Cystatin C), 0.5 - 1.2 мг/л</t>
  </si>
  <si>
    <t>Genova ION, 13-80</t>
  </si>
  <si>
    <t>Genova ION, 5-210</t>
  </si>
  <si>
    <t>Genova ION, 31-213</t>
  </si>
  <si>
    <t>Genova ION, 821-2032</t>
  </si>
  <si>
    <t>Genova ION, 5-46</t>
  </si>
  <si>
    <t>Genova ION, 27-140</t>
  </si>
  <si>
    <t>Genova ION, 158-521</t>
  </si>
  <si>
    <t>Genova ION, 2.6-18.1</t>
  </si>
  <si>
    <t>Genova ION, &lt;8.3</t>
  </si>
  <si>
    <t>Genova ION, 466-1470</t>
  </si>
  <si>
    <t>Genova ION, 11-50, w3</t>
  </si>
  <si>
    <t>LabCorp, 0.05 - 0.83</t>
  </si>
  <si>
    <t>Mangan, Ferritin, 50 - 70 ng/mL</t>
  </si>
  <si>
    <t>ВИЧ 1/2 (антитела и антиген p24, HIV Ag/Ab Combo)</t>
  </si>
  <si>
    <t>negative</t>
  </si>
  <si>
    <t>HBsAg (кач.)</t>
  </si>
  <si>
    <t>anti - HCV total</t>
  </si>
  <si>
    <t>Витамин B6, пиридоксаль-5-фосфат, плазма (Vitamin B6, Pyridoxal-5-Phosphate, PLP), 5 — 50 нг/мл</t>
  </si>
  <si>
    <t>&lt;0.01</t>
  </si>
  <si>
    <t>&lt; 8.87</t>
  </si>
  <si>
    <t>&lt; 1.67</t>
  </si>
  <si>
    <t>&lt; 2.00</t>
  </si>
  <si>
    <t>&lt; 4.86</t>
  </si>
  <si>
    <t>&lt; 1.71</t>
  </si>
  <si>
    <t>&lt; 3.06</t>
  </si>
  <si>
    <t>&lt; 6.88</t>
  </si>
  <si>
    <t>&lt; 3.08</t>
  </si>
  <si>
    <t>&lt; 2.39</t>
  </si>
  <si>
    <t>&lt; 2.43</t>
  </si>
  <si>
    <t>&lt; 2.35</t>
  </si>
  <si>
    <t>&lt; 4.8</t>
  </si>
  <si>
    <t>&lt; 2.41</t>
  </si>
  <si>
    <t>&lt; 3.32</t>
  </si>
  <si>
    <t>&lt; 5.2</t>
  </si>
  <si>
    <t>&lt; 8.65</t>
  </si>
  <si>
    <t>&lt; 1.55</t>
  </si>
  <si>
    <t>&lt; 3</t>
  </si>
  <si>
    <t>Фибриноген (Fibrinogen), 2.0 — 4.0 г/л</t>
  </si>
  <si>
    <t>Липопротеин (а) (Lipoprotein (a), Lp(a)), &lt; 0,5 г/л</t>
  </si>
  <si>
    <t>74.6 72.7</t>
  </si>
  <si>
    <t>Levine</t>
  </si>
  <si>
    <t>&lt; 38.3</t>
  </si>
  <si>
    <t>Литий, сыворотка (Lithium, serum) , 0,40 - 1,20 ммоль/л</t>
  </si>
  <si>
    <t>Мочевина (Urea), 2.1 — 7.1 ммоль/л</t>
  </si>
  <si>
    <t>Аргинин (Arg, Arginine), 7.0 — 111.0 мкмоль/л</t>
  </si>
  <si>
    <t>Валин (Val, Valine), 129.6 — 316.4 мкмоль/л</t>
  </si>
  <si>
    <t>Гистидин (His, Histidine), 46.0 — 95.0 мкмоль/л</t>
  </si>
  <si>
    <t>Метионин (Met, Methionine), 12.90 — 32.90 мкмоль/л</t>
  </si>
  <si>
    <t>Треонин (Thr, Threonine), 60.5 — 273.5 мкмоль/л</t>
  </si>
  <si>
    <t>Лейцин (Leu, Leucine), 75.7 — 157.0 мкмоль/л</t>
  </si>
  <si>
    <t>Лизин (Lys, Lysine), 116.2 — 271.6 мкмоль/л</t>
  </si>
  <si>
    <t>Изолейцин (Ile, Isoleucine), 36.7 — 94.7 мкмоль/л</t>
  </si>
  <si>
    <t>Триптофан (Trp, Tryptophan), 31.8 — 69.0 мкмоль/л</t>
  </si>
  <si>
    <t>Фенилаланин (Phe, Phenylalanine), 29.50 — 92.00 мкмоль/л</t>
  </si>
  <si>
    <t>Аланин (Ala, Alanine), 188 — 624 мкмоль/л</t>
  </si>
  <si>
    <t>Аспарагин (Asn, Asparagine), 27.9 — 67.6 мкмоль/л</t>
  </si>
  <si>
    <t>Аспарагиновая кислота (Asp, Aspartic acid), &lt; 14.70</t>
  </si>
  <si>
    <t>Глицин (Gly, Glycine), 98.7 — 383.9 мкмоль/л</t>
  </si>
  <si>
    <t>Глутамин (Gln, Glutamine), 314.6 — 746.0 мкмоль/л</t>
  </si>
  <si>
    <t>Пролин (Pro, Proline), 90.0 — 226.7 мкмоль/л</t>
  </si>
  <si>
    <t>Серин (Ser, Serine), 69.0 — 170.5 мкмоль/л</t>
  </si>
  <si>
    <t>Таурин (Tau, Taurine), 35.9 — 227.9 мкмоль/л</t>
  </si>
  <si>
    <t>Тирозин (Tyr, Tyrosine), 26.3 — 84.8 мкмоль/л</t>
  </si>
  <si>
    <t>Аргинин-янтарная кислота, аргининосукцинат (Ars, Argininosuccinic acid), &lt; 2.00</t>
  </si>
  <si>
    <t>Гомоцитруллин (Hci, Homocitrulline), &lt; 5.00</t>
  </si>
  <si>
    <t>Орнитин (Orn, Ornithine), 30.4 — 184.3 мкмоль/л</t>
  </si>
  <si>
    <t>Цитруллин (Cit, Citrulline), 17.50 — 41.10 мкмоль/л</t>
  </si>
  <si>
    <t>Аденозилгомоцистеин (Agc, Adenosylhomocysteine), &lt; 2.00</t>
  </si>
  <si>
    <t>Гомоцистин (Hcy, Homocystine) &lt; 3.00</t>
  </si>
  <si>
    <t>Цистатионин (Cyst, Cystathionine), &lt; 4.00</t>
  </si>
  <si>
    <t>Цистеинсульфат(SSC,  S-Sulfocysteine), &lt; 8.00</t>
  </si>
  <si>
    <t>Цистин (Cys, Cystine), 7.40 — 46.00 мкмоль/л</t>
  </si>
  <si>
    <t>Альфа-аминоадипиновая кислота (Aad, alpha-Aminoadipic acid, 2-Aminohexanedioic acid, ), &lt; 5.00</t>
  </si>
  <si>
    <t>Пипеколиновая кислота(PA, Pipecolic acid), &lt; 3.20</t>
  </si>
  <si>
    <t>Сахаропин (Sac, Saccharopine), &lt; 3.00</t>
  </si>
  <si>
    <t>Гидроксилизин (Hly, Hydroxylysine), &lt; 3.00</t>
  </si>
  <si>
    <t>Гидроксипролин (Hyp, Hydroxyproline), 4.90 — 21.90 мкмоль/л</t>
  </si>
  <si>
    <t>3-Метилгистидин (3-MH, 3-Methylhistidine), 0.0 — 23.1 мкмоль/л</t>
  </si>
  <si>
    <t>1-Метилгистидин (1-MH, 1-Methylhistidine), 2.3 — 7.0 мкмоль/л</t>
  </si>
  <si>
    <t>Ансерин (Ans, Anserine), &lt; 3.00</t>
  </si>
  <si>
    <t>Бета-аланин (Bal, beta-Alanine), &lt; 10.00</t>
  </si>
  <si>
    <t>Карнозин (Car, Carnosine), &lt; 5.0</t>
  </si>
  <si>
    <t>Саркозин (Sar, Sarcosine), 2.40 — 12.90 мкмоль/л</t>
  </si>
  <si>
    <t>Альфа-аминомасляная кислота (Abu, alpha-Aminobutyric acid), 11.80 — 45.90 мкмоль/л</t>
  </si>
  <si>
    <t>Бета-аминоизомасляная кислота (bAib, beta-Aminoisobutyric acid), 0.00 — 3.20 мкмоль/л</t>
  </si>
  <si>
    <t>Гамма-аминомасляная кислота (gAbu, gamma-Aminobutyric acid), 0.00 — 5.00 мкмоль/л</t>
  </si>
  <si>
    <t>Фосфосерин (Pse, Phosphoserine), &lt; 4.00</t>
  </si>
  <si>
    <t>Фосфоэтаноламин (Pet, Phosphoethanolamine), 0.0 — 14.2 мкмоль/л</t>
  </si>
  <si>
    <t>Этаноламин (Eta, Ethanolamine), &lt; 15.30</t>
  </si>
  <si>
    <t>Алло-изолейцин (Ail, Alloisoleucine), 0.00 — 3.00 мкмоль/л</t>
  </si>
  <si>
    <t>Ацетилтирозин (Aty, Acetyl tyrosine), 0 — 130 мкмоль/л</t>
  </si>
  <si>
    <t>+</t>
  </si>
  <si>
    <t>Глутаминовая кислота (Glu, Glutamic acid, Glutamate), 40.0 — 159.7 мкмоль/л</t>
  </si>
  <si>
    <t>-</t>
  </si>
  <si>
    <t>-?</t>
  </si>
  <si>
    <t>74.2 72.6</t>
  </si>
  <si>
    <t>Палочкоядерные нейтрофилы, 1 - 6 %</t>
  </si>
  <si>
    <t>Сегментоядерные нейтрофилы, 47 - 72 %</t>
  </si>
  <si>
    <t>&lt;0.4</t>
  </si>
  <si>
    <t>Аполипопротеин В (Apolipoprotein B), г/л</t>
  </si>
  <si>
    <t>&gt;256</t>
  </si>
  <si>
    <t>&lt;6.99</t>
  </si>
  <si>
    <t>&lt;2.28</t>
  </si>
  <si>
    <t>Активный витамин В12, Голотранскобаламин (Active-B12, Holotranscobalamin), 25 - 165 пмоль/л</t>
  </si>
  <si>
    <t>Лактат (Молочная кислота, Lactate), 0.5 - 2.2 ммоль/л</t>
  </si>
  <si>
    <t>Альфа-Амилаза (Диастаза, Alpha-Amylase), 25 — 125 Ед/л</t>
  </si>
  <si>
    <t>Δ</t>
  </si>
  <si>
    <t>HR</t>
  </si>
  <si>
    <t>Age</t>
  </si>
  <si>
    <t>ΔHR</t>
  </si>
  <si>
    <t>ΔAge</t>
  </si>
  <si>
    <t>&gt;1.5</t>
  </si>
  <si>
    <t>&gt;90</t>
  </si>
  <si>
    <t>Cystatin C</t>
  </si>
  <si>
    <t>BMI</t>
  </si>
  <si>
    <t>Соматомедин - С, 92 — 229 нг/мл</t>
  </si>
  <si>
    <t>Гомоцистеин (Hcy), 0 — 15 мкмоль/л</t>
  </si>
  <si>
    <t>N-aцетилтирозин, 257 - 405 нмоль/л</t>
  </si>
  <si>
    <t>N-ацетиласпарт (NAA), 181.9 - 669.17 нмоль/л</t>
  </si>
  <si>
    <t>N-ацетилфенилаланин, &lt;0 нмоль/л</t>
  </si>
  <si>
    <t>N-ацетилцистеин, 41.8 - 115.4 нмоль/л</t>
  </si>
  <si>
    <t>Bredesen, Selenium, 110-150 ng/mL</t>
  </si>
  <si>
    <t>73.3 71.5</t>
  </si>
  <si>
    <t>74.3 72.6</t>
  </si>
  <si>
    <t>Biological age</t>
  </si>
  <si>
    <t>Biological Age Acceleration</t>
  </si>
  <si>
    <t>Chronological age</t>
  </si>
  <si>
    <t>Apolipoprotein A</t>
  </si>
  <si>
    <t>Platelet crit</t>
  </si>
  <si>
    <t>pg</t>
  </si>
  <si>
    <t>Mean Corpuscular Hemoglobin (MCH)</t>
  </si>
  <si>
    <t>Platelet distribution width (PDW)</t>
  </si>
  <si>
    <t>High light scatter reticulocytes</t>
  </si>
  <si>
    <t>ng/mL</t>
  </si>
  <si>
    <t>Vitamin D</t>
  </si>
  <si>
    <t>nmol/L</t>
  </si>
  <si>
    <t>SHBG</t>
  </si>
  <si>
    <t>Mean Sphered Cell Volume (MSCV)</t>
  </si>
  <si>
    <r>
      <t>10</t>
    </r>
    <r>
      <rPr>
        <vertAlign val="super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scheme val="minor"/>
      </rPr>
      <t xml:space="preserve"> 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</si>
  <si>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>U/L</t>
  </si>
  <si>
    <t>GGT</t>
  </si>
  <si>
    <t>HbA1c</t>
  </si>
  <si>
    <t>age</t>
  </si>
  <si>
    <t>M</t>
  </si>
  <si>
    <t>Sex</t>
  </si>
  <si>
    <t>Birth date</t>
  </si>
  <si>
    <t>Test date</t>
  </si>
  <si>
    <t>Аполипопротеин А1 (Apolipoprotein A-1), г/л</t>
  </si>
  <si>
    <t>74.4 73.2</t>
  </si>
  <si>
    <t>ENC</t>
  </si>
  <si>
    <t>Apolipoprotein A, mg/dL</t>
  </si>
  <si>
    <t>FT3/FT4</t>
  </si>
  <si>
    <t>75.0 73.6</t>
  </si>
  <si>
    <t>&gt;1.31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</si>
</sst>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0"/>
      <color indexed="10"/>
      <name val="Arial"/>
      <family val="2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E5FF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double">
        <color rgb="FF00B05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6">
    <xf numFmtId="0" fontId="0" fillId="0" borderId="0" xfId="0"/>
    <xf numFmtId="15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0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0" borderId="5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0" fillId="0" borderId="7" xfId="0" applyNumberFormat="1" applyBorder="1"/>
    <xf numFmtId="0" fontId="3" fillId="0" borderId="9" xfId="0" applyFont="1" applyBorder="1" applyAlignment="1">
      <alignment horizontal="left"/>
    </xf>
    <xf numFmtId="0" fontId="0" fillId="0" borderId="10" xfId="0" applyBorder="1"/>
    <xf numFmtId="0" fontId="3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2" fontId="3" fillId="0" borderId="1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6" fontId="8" fillId="0" borderId="1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/>
    <xf numFmtId="2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0" fillId="2" borderId="0" xfId="0" applyNumberFormat="1" applyFill="1"/>
    <xf numFmtId="15" fontId="10" fillId="0" borderId="0" xfId="0" applyNumberFormat="1" applyFont="1" applyAlignment="1">
      <alignment horizontal="center"/>
    </xf>
    <xf numFmtId="0" fontId="2" fillId="0" borderId="1" xfId="1" applyBorder="1" applyAlignment="1" applyProtection="1">
      <alignment horizontal="center"/>
    </xf>
    <xf numFmtId="0" fontId="2" fillId="0" borderId="2" xfId="1" applyBorder="1" applyAlignment="1" applyProtection="1">
      <alignment horizontal="center"/>
    </xf>
    <xf numFmtId="0" fontId="2" fillId="0" borderId="3" xfId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Normal 2" xfId="2" xr:uid="{1E0BF324-7FBE-407F-9177-1DB3FD62FF2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22F3-BC84-45F8-859D-AF401D763599}">
  <dimension ref="A1:AF398"/>
  <sheetViews>
    <sheetView zoomScale="110" zoomScaleNormal="110" workbookViewId="0">
      <pane xSplit="1" ySplit="1" topLeftCell="B350" activePane="bottomRight" state="frozen"/>
      <selection pane="topRight" activeCell="B1" sqref="B1"/>
      <selection pane="bottomLeft" activeCell="A2" sqref="A2"/>
      <selection pane="bottomRight" activeCell="B399" sqref="B399"/>
    </sheetView>
  </sheetViews>
  <sheetFormatPr defaultRowHeight="15" x14ac:dyDescent="0.25"/>
  <cols>
    <col min="1" max="1" width="92.85546875" bestFit="1" customWidth="1"/>
    <col min="2" max="2" width="12.7109375" customWidth="1"/>
    <col min="3" max="3" width="16.42578125" customWidth="1"/>
    <col min="4" max="8" width="12.7109375" customWidth="1"/>
    <col min="9" max="9" width="9.85546875" bestFit="1" customWidth="1"/>
    <col min="10" max="10" width="12.7109375" customWidth="1"/>
    <col min="11" max="11" width="9.7109375" bestFit="1" customWidth="1"/>
    <col min="17" max="17" width="9.7109375" bestFit="1" customWidth="1"/>
    <col min="18" max="31" width="9.7109375" customWidth="1"/>
  </cols>
  <sheetData>
    <row r="1" spans="1:32" x14ac:dyDescent="0.25">
      <c r="B1" s="1">
        <v>45474</v>
      </c>
      <c r="C1" s="1">
        <v>45433</v>
      </c>
      <c r="D1" s="1">
        <v>45390</v>
      </c>
      <c r="E1" s="1">
        <v>45316</v>
      </c>
      <c r="F1" s="1">
        <v>45294</v>
      </c>
      <c r="G1" s="1">
        <v>45208</v>
      </c>
      <c r="H1" s="1">
        <v>45082</v>
      </c>
      <c r="I1" s="1">
        <v>45007</v>
      </c>
      <c r="J1" s="1">
        <v>44963</v>
      </c>
      <c r="K1" s="1">
        <v>44818</v>
      </c>
      <c r="L1" s="1">
        <v>44720</v>
      </c>
      <c r="M1" s="1">
        <v>44507</v>
      </c>
      <c r="N1" s="1">
        <v>44416</v>
      </c>
      <c r="O1" s="1">
        <v>44356</v>
      </c>
      <c r="P1" s="1">
        <v>44293</v>
      </c>
      <c r="Q1" s="1">
        <v>44187</v>
      </c>
      <c r="R1" s="1">
        <v>44104</v>
      </c>
      <c r="S1" s="1">
        <v>43778</v>
      </c>
      <c r="T1" s="1">
        <v>43537</v>
      </c>
      <c r="U1" s="1">
        <v>43371</v>
      </c>
      <c r="V1" s="1">
        <v>43248</v>
      </c>
      <c r="W1" s="1">
        <v>43172</v>
      </c>
      <c r="X1" s="1">
        <v>42830</v>
      </c>
      <c r="Y1" s="1">
        <v>42427</v>
      </c>
      <c r="Z1" s="1">
        <v>41645</v>
      </c>
      <c r="AA1" s="1">
        <v>40367</v>
      </c>
      <c r="AB1" s="1">
        <v>40320</v>
      </c>
      <c r="AC1" s="1">
        <v>40234</v>
      </c>
      <c r="AD1" s="1">
        <v>40122</v>
      </c>
      <c r="AE1" s="1">
        <v>40100</v>
      </c>
      <c r="AF1" s="1"/>
    </row>
    <row r="2" spans="1:32" x14ac:dyDescent="0.25">
      <c r="A2" t="s">
        <v>0</v>
      </c>
      <c r="F2">
        <v>7.9000000000000008E-3</v>
      </c>
      <c r="J2">
        <v>3.5000000000000001E-3</v>
      </c>
      <c r="K2">
        <v>2.7000000000000001E-3</v>
      </c>
      <c r="L2">
        <v>4.5999999999999999E-3</v>
      </c>
      <c r="M2">
        <v>2.3E-3</v>
      </c>
      <c r="N2">
        <v>3.3999999999999998E-3</v>
      </c>
      <c r="O2">
        <v>3.7000000000000002E-3</v>
      </c>
    </row>
    <row r="3" spans="1:32" x14ac:dyDescent="0.25">
      <c r="A3" t="s">
        <v>151</v>
      </c>
      <c r="B3">
        <f t="shared" ref="B3:D3" si="0">B2*1000</f>
        <v>0</v>
      </c>
      <c r="D3">
        <f t="shared" si="0"/>
        <v>0</v>
      </c>
      <c r="E3">
        <f t="shared" ref="E3:F3" si="1">E2*1000</f>
        <v>0</v>
      </c>
      <c r="F3">
        <f t="shared" si="1"/>
        <v>7.9</v>
      </c>
      <c r="G3">
        <f t="shared" ref="G3:H3" si="2">G2*1000</f>
        <v>0</v>
      </c>
      <c r="H3">
        <f t="shared" si="2"/>
        <v>0</v>
      </c>
      <c r="J3">
        <f t="shared" ref="J3:O3" si="3">J2*1000</f>
        <v>3.5</v>
      </c>
      <c r="K3">
        <f t="shared" si="3"/>
        <v>2.7</v>
      </c>
      <c r="L3">
        <f t="shared" si="3"/>
        <v>4.5999999999999996</v>
      </c>
      <c r="M3">
        <f t="shared" si="3"/>
        <v>2.2999999999999998</v>
      </c>
      <c r="N3">
        <f t="shared" si="3"/>
        <v>3.4</v>
      </c>
      <c r="O3">
        <f t="shared" si="3"/>
        <v>3.7</v>
      </c>
      <c r="AF3">
        <f>AF2*1000</f>
        <v>0</v>
      </c>
    </row>
    <row r="5" spans="1:32" x14ac:dyDescent="0.25">
      <c r="A5" t="s">
        <v>218</v>
      </c>
      <c r="B5">
        <v>0.79</v>
      </c>
      <c r="D5">
        <v>0.76900000000000002</v>
      </c>
      <c r="F5">
        <v>0.84699999999999998</v>
      </c>
      <c r="G5">
        <v>0.98899999999999999</v>
      </c>
      <c r="H5">
        <v>0.85299999999999998</v>
      </c>
      <c r="J5">
        <v>0.91400000000000003</v>
      </c>
      <c r="K5">
        <v>0.73</v>
      </c>
      <c r="L5">
        <v>0.71</v>
      </c>
      <c r="M5">
        <v>0.745</v>
      </c>
      <c r="N5">
        <v>0.89700000000000002</v>
      </c>
      <c r="O5">
        <v>0.93100000000000005</v>
      </c>
    </row>
    <row r="6" spans="1:32" x14ac:dyDescent="0.25">
      <c r="A6" t="s">
        <v>229</v>
      </c>
      <c r="B6">
        <f>B5*100</f>
        <v>79</v>
      </c>
      <c r="D6">
        <f>D5*100</f>
        <v>76.900000000000006</v>
      </c>
      <c r="E6">
        <f>E5*100</f>
        <v>0</v>
      </c>
      <c r="F6">
        <f>F5*100</f>
        <v>84.7</v>
      </c>
      <c r="G6">
        <f>G5*100</f>
        <v>98.9</v>
      </c>
      <c r="H6">
        <f>H5*100</f>
        <v>85.3</v>
      </c>
      <c r="J6">
        <f>J5*100</f>
        <v>91.4</v>
      </c>
      <c r="K6">
        <f>K5*100</f>
        <v>73</v>
      </c>
      <c r="L6">
        <f t="shared" ref="L6:O6" si="4">L5*100</f>
        <v>71</v>
      </c>
      <c r="M6">
        <f t="shared" si="4"/>
        <v>74.5</v>
      </c>
      <c r="N6">
        <f t="shared" si="4"/>
        <v>89.7</v>
      </c>
      <c r="O6">
        <f t="shared" si="4"/>
        <v>93.100000000000009</v>
      </c>
    </row>
    <row r="8" spans="1:32" x14ac:dyDescent="0.25">
      <c r="A8" t="s">
        <v>219</v>
      </c>
      <c r="G8">
        <v>0</v>
      </c>
      <c r="H8">
        <v>5.3999999999999999E-2</v>
      </c>
      <c r="J8">
        <v>6.2E-2</v>
      </c>
      <c r="K8">
        <v>6.3E-2</v>
      </c>
      <c r="L8">
        <v>5.0999999999999997E-2</v>
      </c>
      <c r="M8">
        <v>4.5999999999999999E-2</v>
      </c>
      <c r="AF8">
        <v>0</v>
      </c>
    </row>
    <row r="10" spans="1:32" x14ac:dyDescent="0.25">
      <c r="A10" t="s">
        <v>1</v>
      </c>
      <c r="B10">
        <v>0.124</v>
      </c>
      <c r="D10">
        <v>0.152</v>
      </c>
      <c r="F10">
        <v>0.13200000000000001</v>
      </c>
      <c r="G10">
        <v>0.104</v>
      </c>
      <c r="H10">
        <v>0.11600000000000001</v>
      </c>
      <c r="J10">
        <v>0.1</v>
      </c>
      <c r="K10">
        <v>0.112</v>
      </c>
      <c r="L10">
        <v>0.123</v>
      </c>
      <c r="M10">
        <v>9.8000000000000004E-2</v>
      </c>
      <c r="N10">
        <v>0.129</v>
      </c>
      <c r="O10">
        <v>0.124</v>
      </c>
      <c r="T10">
        <v>9.8000000000000004E-2</v>
      </c>
    </row>
    <row r="11" spans="1:32" x14ac:dyDescent="0.25">
      <c r="A11" t="s">
        <v>410</v>
      </c>
      <c r="B11">
        <f t="shared" ref="B11:D11" si="5">B10*1000</f>
        <v>124</v>
      </c>
      <c r="D11">
        <f t="shared" si="5"/>
        <v>152</v>
      </c>
      <c r="E11">
        <f t="shared" ref="E11:F11" si="6">E10*1000</f>
        <v>0</v>
      </c>
      <c r="F11">
        <f t="shared" si="6"/>
        <v>132</v>
      </c>
      <c r="G11">
        <f t="shared" ref="G11:H11" si="7">G10*1000</f>
        <v>104</v>
      </c>
      <c r="H11">
        <f t="shared" si="7"/>
        <v>116</v>
      </c>
      <c r="J11">
        <f t="shared" ref="J11:O11" si="8">J10*1000</f>
        <v>100</v>
      </c>
      <c r="K11">
        <f t="shared" si="8"/>
        <v>112</v>
      </c>
      <c r="L11">
        <f t="shared" si="8"/>
        <v>123</v>
      </c>
      <c r="M11">
        <f t="shared" si="8"/>
        <v>98</v>
      </c>
      <c r="N11">
        <f t="shared" si="8"/>
        <v>129</v>
      </c>
      <c r="O11">
        <f t="shared" si="8"/>
        <v>124</v>
      </c>
      <c r="T11">
        <f>T10*1000</f>
        <v>98</v>
      </c>
      <c r="AF11">
        <f>AF10*1000</f>
        <v>0</v>
      </c>
    </row>
    <row r="13" spans="1:32" x14ac:dyDescent="0.25">
      <c r="A13" t="s">
        <v>153</v>
      </c>
      <c r="F13">
        <v>2.5000000000000001E-4</v>
      </c>
      <c r="J13">
        <v>1.0000000000000001E-5</v>
      </c>
      <c r="K13">
        <v>1.2E-4</v>
      </c>
      <c r="L13">
        <v>1.7000000000000001E-4</v>
      </c>
      <c r="M13">
        <v>3.6000000000000002E-4</v>
      </c>
      <c r="N13">
        <v>2.7E-4</v>
      </c>
      <c r="O13">
        <v>5.0000000000000002E-5</v>
      </c>
    </row>
    <row r="14" spans="1:32" x14ac:dyDescent="0.25">
      <c r="A14" t="s">
        <v>152</v>
      </c>
      <c r="B14">
        <f>B13*100</f>
        <v>0</v>
      </c>
      <c r="D14">
        <f>D13*100</f>
        <v>0</v>
      </c>
      <c r="E14">
        <f>E13*100</f>
        <v>0</v>
      </c>
      <c r="F14">
        <f>F13*100</f>
        <v>2.5000000000000001E-2</v>
      </c>
      <c r="G14">
        <f t="shared" ref="G14:H14" si="9">G13*100</f>
        <v>0</v>
      </c>
      <c r="H14">
        <f t="shared" si="9"/>
        <v>0</v>
      </c>
      <c r="J14">
        <f t="shared" ref="J14:O14" si="10">J13*100</f>
        <v>1E-3</v>
      </c>
      <c r="K14">
        <f t="shared" si="10"/>
        <v>1.2E-2</v>
      </c>
      <c r="L14">
        <f t="shared" si="10"/>
        <v>1.7000000000000001E-2</v>
      </c>
      <c r="M14">
        <f t="shared" si="10"/>
        <v>3.6000000000000004E-2</v>
      </c>
      <c r="N14">
        <f t="shared" si="10"/>
        <v>2.7E-2</v>
      </c>
      <c r="O14">
        <f t="shared" si="10"/>
        <v>5.0000000000000001E-3</v>
      </c>
      <c r="AF14">
        <f>AF13*100</f>
        <v>0</v>
      </c>
    </row>
    <row r="16" spans="1:32" x14ac:dyDescent="0.25">
      <c r="A16" t="s">
        <v>2</v>
      </c>
      <c r="F16">
        <v>5.0000000000000001E-4</v>
      </c>
      <c r="J16">
        <v>5.0000000000000001E-4</v>
      </c>
      <c r="K16">
        <v>5.0000000000000001E-4</v>
      </c>
      <c r="L16">
        <v>3.6000000000000002E-4</v>
      </c>
      <c r="M16">
        <v>3.6000000000000002E-4</v>
      </c>
      <c r="N16">
        <v>3.6000000000000002E-4</v>
      </c>
      <c r="O16">
        <v>7.1000000000000002E-4</v>
      </c>
    </row>
    <row r="17" spans="1:32" x14ac:dyDescent="0.25">
      <c r="A17" t="s">
        <v>149</v>
      </c>
      <c r="B17">
        <f t="shared" ref="B17:D17" si="11">B16*1000</f>
        <v>0</v>
      </c>
      <c r="D17">
        <f t="shared" si="11"/>
        <v>0</v>
      </c>
      <c r="E17">
        <f t="shared" ref="E17:F17" si="12">E16*1000</f>
        <v>0</v>
      </c>
      <c r="F17">
        <f t="shared" si="12"/>
        <v>0.5</v>
      </c>
      <c r="G17">
        <f t="shared" ref="G17:H17" si="13">G16*1000</f>
        <v>0</v>
      </c>
      <c r="H17">
        <f t="shared" si="13"/>
        <v>0</v>
      </c>
      <c r="J17">
        <f t="shared" ref="J17:O17" si="14">J16*1000</f>
        <v>0.5</v>
      </c>
      <c r="K17">
        <f t="shared" si="14"/>
        <v>0.5</v>
      </c>
      <c r="L17">
        <f t="shared" si="14"/>
        <v>0.36000000000000004</v>
      </c>
      <c r="M17">
        <f t="shared" si="14"/>
        <v>0.36000000000000004</v>
      </c>
      <c r="N17">
        <f t="shared" si="14"/>
        <v>0.36000000000000004</v>
      </c>
      <c r="O17">
        <f t="shared" si="14"/>
        <v>0.71</v>
      </c>
      <c r="AF17">
        <f>AF16*1000</f>
        <v>0</v>
      </c>
    </row>
    <row r="19" spans="1:32" x14ac:dyDescent="0.25">
      <c r="A19" t="s">
        <v>3</v>
      </c>
      <c r="F19">
        <v>4.4999999999999997E-3</v>
      </c>
      <c r="J19">
        <v>8.5000000000000006E-3</v>
      </c>
      <c r="K19">
        <v>6.7000000000000002E-3</v>
      </c>
      <c r="L19">
        <v>6.1000000000000004E-3</v>
      </c>
      <c r="M19">
        <v>6.7000000000000002E-3</v>
      </c>
      <c r="N19">
        <v>7.0000000000000001E-3</v>
      </c>
      <c r="O19">
        <v>6.1999999999999998E-3</v>
      </c>
    </row>
    <row r="20" spans="1:32" x14ac:dyDescent="0.25">
      <c r="A20" t="s">
        <v>150</v>
      </c>
      <c r="B20">
        <f t="shared" ref="B20:D20" si="15">B19*100</f>
        <v>0</v>
      </c>
      <c r="D20">
        <f t="shared" si="15"/>
        <v>0</v>
      </c>
      <c r="E20">
        <f t="shared" ref="E20:F20" si="16">E19*100</f>
        <v>0</v>
      </c>
      <c r="F20">
        <f t="shared" si="16"/>
        <v>0.44999999999999996</v>
      </c>
      <c r="G20">
        <f t="shared" ref="G20:H20" si="17">G19*100</f>
        <v>0</v>
      </c>
      <c r="H20">
        <f t="shared" si="17"/>
        <v>0</v>
      </c>
      <c r="J20">
        <f t="shared" ref="J20:O20" si="18">J19*100</f>
        <v>0.85000000000000009</v>
      </c>
      <c r="K20">
        <f t="shared" si="18"/>
        <v>0.67</v>
      </c>
      <c r="L20">
        <f t="shared" si="18"/>
        <v>0.61</v>
      </c>
      <c r="M20">
        <f t="shared" si="18"/>
        <v>0.67</v>
      </c>
      <c r="N20">
        <f t="shared" si="18"/>
        <v>0.70000000000000007</v>
      </c>
      <c r="O20">
        <f t="shared" si="18"/>
        <v>0.62</v>
      </c>
      <c r="AF20">
        <f>AF19*100</f>
        <v>0</v>
      </c>
    </row>
    <row r="22" spans="1:32" x14ac:dyDescent="0.25">
      <c r="A22" t="s">
        <v>226</v>
      </c>
      <c r="K22">
        <v>5.92</v>
      </c>
      <c r="L22">
        <v>6.28</v>
      </c>
      <c r="M22">
        <v>6.89</v>
      </c>
      <c r="N22">
        <v>6.88</v>
      </c>
      <c r="O22">
        <v>7.52</v>
      </c>
      <c r="P22">
        <v>7.25</v>
      </c>
    </row>
    <row r="24" spans="1:32" x14ac:dyDescent="0.25">
      <c r="A24" t="s">
        <v>228</v>
      </c>
      <c r="B24">
        <v>0.754</v>
      </c>
      <c r="D24">
        <v>0.86</v>
      </c>
      <c r="F24">
        <v>0.752</v>
      </c>
      <c r="G24">
        <v>1.03</v>
      </c>
      <c r="H24">
        <v>0.84</v>
      </c>
      <c r="J24">
        <v>0.81599999999999995</v>
      </c>
    </row>
    <row r="25" spans="1:32" x14ac:dyDescent="0.25">
      <c r="A25" t="s">
        <v>227</v>
      </c>
      <c r="B25">
        <f>B24*100</f>
        <v>75.400000000000006</v>
      </c>
      <c r="D25">
        <f>D24*100</f>
        <v>86</v>
      </c>
      <c r="E25">
        <f>E24*100</f>
        <v>0</v>
      </c>
      <c r="F25">
        <f>F24*100</f>
        <v>75.2</v>
      </c>
      <c r="G25">
        <f>G24*100</f>
        <v>103</v>
      </c>
      <c r="H25">
        <f>H24*100</f>
        <v>84</v>
      </c>
      <c r="J25">
        <f>J24*100</f>
        <v>81.599999999999994</v>
      </c>
    </row>
    <row r="27" spans="1:32" x14ac:dyDescent="0.25">
      <c r="A27" t="s">
        <v>230</v>
      </c>
      <c r="B27" s="4">
        <f>B25/B6</f>
        <v>0.95443037974683553</v>
      </c>
      <c r="D27" s="4">
        <f>D25/D6</f>
        <v>1.1183355006501949</v>
      </c>
      <c r="E27" s="4" t="e">
        <f>E25/E6</f>
        <v>#DIV/0!</v>
      </c>
      <c r="F27" s="4">
        <f>F25/F6</f>
        <v>0.88783943329397874</v>
      </c>
      <c r="G27" s="4">
        <f>G25/G6</f>
        <v>1.0414560161779576</v>
      </c>
      <c r="H27" s="4">
        <f>H25/H6</f>
        <v>0.98475967174677614</v>
      </c>
      <c r="J27" s="4">
        <f>J25/J6</f>
        <v>0.89277899343544842</v>
      </c>
    </row>
    <row r="29" spans="1:32" x14ac:dyDescent="0.25">
      <c r="A29" t="s">
        <v>276</v>
      </c>
      <c r="J29">
        <v>8.5000000000000006E-3</v>
      </c>
    </row>
    <row r="31" spans="1:32" x14ac:dyDescent="0.25">
      <c r="A31" t="s">
        <v>4</v>
      </c>
      <c r="F31">
        <v>54</v>
      </c>
      <c r="G31">
        <v>0</v>
      </c>
      <c r="H31">
        <v>82</v>
      </c>
      <c r="J31">
        <v>117</v>
      </c>
      <c r="K31">
        <v>118</v>
      </c>
      <c r="L31">
        <v>97</v>
      </c>
      <c r="M31">
        <v>107</v>
      </c>
      <c r="N31">
        <v>198</v>
      </c>
      <c r="O31">
        <v>74</v>
      </c>
      <c r="P31">
        <v>166</v>
      </c>
      <c r="Q31">
        <v>61</v>
      </c>
    </row>
    <row r="32" spans="1:32" x14ac:dyDescent="0.25">
      <c r="A32" t="s">
        <v>289</v>
      </c>
    </row>
    <row r="34" spans="1:17" x14ac:dyDescent="0.25">
      <c r="A34" t="s">
        <v>5</v>
      </c>
      <c r="F34">
        <v>78</v>
      </c>
      <c r="G34">
        <v>0</v>
      </c>
      <c r="H34">
        <v>33</v>
      </c>
      <c r="J34">
        <v>69</v>
      </c>
      <c r="K34">
        <v>93</v>
      </c>
      <c r="L34">
        <v>77</v>
      </c>
      <c r="M34">
        <v>31</v>
      </c>
      <c r="N34">
        <v>97</v>
      </c>
      <c r="O34">
        <v>69</v>
      </c>
      <c r="P34">
        <v>116</v>
      </c>
      <c r="Q34">
        <v>19</v>
      </c>
    </row>
    <row r="35" spans="1:17" x14ac:dyDescent="0.25">
      <c r="A35" t="s">
        <v>290</v>
      </c>
    </row>
    <row r="37" spans="1:17" x14ac:dyDescent="0.25">
      <c r="A37" t="s">
        <v>6</v>
      </c>
      <c r="F37">
        <v>109</v>
      </c>
      <c r="G37">
        <v>0</v>
      </c>
      <c r="H37">
        <v>157</v>
      </c>
      <c r="J37">
        <v>132</v>
      </c>
      <c r="K37">
        <v>109</v>
      </c>
      <c r="L37">
        <v>244</v>
      </c>
      <c r="M37">
        <v>52</v>
      </c>
      <c r="N37">
        <v>178</v>
      </c>
      <c r="O37">
        <v>53</v>
      </c>
      <c r="P37">
        <v>115</v>
      </c>
      <c r="Q37">
        <v>80</v>
      </c>
    </row>
    <row r="38" spans="1:17" x14ac:dyDescent="0.25">
      <c r="A38" t="s">
        <v>291</v>
      </c>
    </row>
    <row r="40" spans="1:17" x14ac:dyDescent="0.25">
      <c r="A40" t="s">
        <v>7</v>
      </c>
      <c r="F40">
        <v>2274</v>
      </c>
      <c r="G40">
        <v>0</v>
      </c>
      <c r="H40">
        <v>3539</v>
      </c>
      <c r="J40">
        <v>3357</v>
      </c>
      <c r="K40">
        <v>2414</v>
      </c>
      <c r="L40">
        <v>4849</v>
      </c>
      <c r="M40">
        <v>2269</v>
      </c>
      <c r="N40">
        <v>3612</v>
      </c>
      <c r="O40">
        <v>3956</v>
      </c>
      <c r="P40">
        <v>4432</v>
      </c>
      <c r="Q40">
        <v>3087</v>
      </c>
    </row>
    <row r="41" spans="1:17" x14ac:dyDescent="0.25">
      <c r="A41" t="s">
        <v>292</v>
      </c>
    </row>
    <row r="43" spans="1:17" x14ac:dyDescent="0.25">
      <c r="A43" t="s">
        <v>8</v>
      </c>
      <c r="F43">
        <v>119</v>
      </c>
      <c r="G43">
        <v>0</v>
      </c>
      <c r="H43">
        <v>25</v>
      </c>
      <c r="J43">
        <v>33</v>
      </c>
      <c r="K43">
        <v>47</v>
      </c>
      <c r="L43">
        <v>113</v>
      </c>
      <c r="M43">
        <v>102</v>
      </c>
      <c r="N43">
        <v>234</v>
      </c>
      <c r="O43">
        <v>63</v>
      </c>
      <c r="P43">
        <v>25</v>
      </c>
      <c r="Q43">
        <v>37</v>
      </c>
    </row>
    <row r="44" spans="1:17" x14ac:dyDescent="0.25">
      <c r="A44" t="s">
        <v>293</v>
      </c>
    </row>
    <row r="46" spans="1:17" x14ac:dyDescent="0.25">
      <c r="A46" t="s">
        <v>9</v>
      </c>
      <c r="F46">
        <v>59</v>
      </c>
      <c r="G46">
        <v>0</v>
      </c>
      <c r="H46">
        <v>65</v>
      </c>
      <c r="J46">
        <v>68</v>
      </c>
      <c r="K46">
        <v>50</v>
      </c>
      <c r="L46">
        <v>146</v>
      </c>
      <c r="M46">
        <v>47</v>
      </c>
      <c r="N46">
        <v>54</v>
      </c>
      <c r="O46">
        <v>49</v>
      </c>
      <c r="P46">
        <v>50</v>
      </c>
      <c r="Q46">
        <v>54</v>
      </c>
    </row>
    <row r="47" spans="1:17" x14ac:dyDescent="0.25">
      <c r="A47" t="s">
        <v>294</v>
      </c>
    </row>
    <row r="49" spans="1:17" x14ac:dyDescent="0.25">
      <c r="A49" t="s">
        <v>10</v>
      </c>
      <c r="F49">
        <v>710</v>
      </c>
      <c r="G49">
        <v>0</v>
      </c>
      <c r="H49">
        <v>676</v>
      </c>
      <c r="J49">
        <v>833</v>
      </c>
      <c r="K49">
        <v>439</v>
      </c>
      <c r="L49">
        <v>973</v>
      </c>
      <c r="M49">
        <v>499</v>
      </c>
      <c r="N49">
        <v>570</v>
      </c>
      <c r="O49">
        <v>318</v>
      </c>
      <c r="P49">
        <v>384</v>
      </c>
      <c r="Q49">
        <v>316</v>
      </c>
    </row>
    <row r="50" spans="1:17" x14ac:dyDescent="0.25">
      <c r="A50" t="s">
        <v>295</v>
      </c>
    </row>
    <row r="52" spans="1:17" x14ac:dyDescent="0.25">
      <c r="A52" t="s">
        <v>11</v>
      </c>
      <c r="F52">
        <v>14</v>
      </c>
      <c r="G52">
        <v>0</v>
      </c>
      <c r="H52">
        <v>36</v>
      </c>
      <c r="J52">
        <v>31</v>
      </c>
      <c r="K52">
        <v>30</v>
      </c>
      <c r="L52">
        <v>43</v>
      </c>
      <c r="M52">
        <v>11</v>
      </c>
      <c r="N52">
        <v>45</v>
      </c>
      <c r="O52">
        <v>12</v>
      </c>
      <c r="P52">
        <v>22</v>
      </c>
      <c r="Q52">
        <v>12</v>
      </c>
    </row>
    <row r="53" spans="1:17" x14ac:dyDescent="0.25">
      <c r="A53" t="s">
        <v>296</v>
      </c>
    </row>
    <row r="55" spans="1:17" x14ac:dyDescent="0.25">
      <c r="A55" t="s">
        <v>12</v>
      </c>
      <c r="F55">
        <v>8</v>
      </c>
      <c r="G55">
        <v>0</v>
      </c>
      <c r="H55">
        <v>32</v>
      </c>
      <c r="J55">
        <v>38</v>
      </c>
      <c r="K55">
        <v>12</v>
      </c>
      <c r="L55">
        <v>42</v>
      </c>
      <c r="M55">
        <v>10</v>
      </c>
      <c r="N55">
        <v>38</v>
      </c>
      <c r="O55">
        <v>13</v>
      </c>
      <c r="P55">
        <v>6</v>
      </c>
      <c r="Q55">
        <v>9</v>
      </c>
    </row>
    <row r="56" spans="1:17" x14ac:dyDescent="0.25">
      <c r="A56" t="s">
        <v>299</v>
      </c>
    </row>
    <row r="58" spans="1:17" x14ac:dyDescent="0.25">
      <c r="A58" t="s">
        <v>13</v>
      </c>
      <c r="F58">
        <v>21</v>
      </c>
      <c r="G58">
        <v>0</v>
      </c>
      <c r="H58">
        <v>81</v>
      </c>
      <c r="J58">
        <v>26</v>
      </c>
      <c r="K58">
        <v>15</v>
      </c>
      <c r="L58">
        <v>32</v>
      </c>
      <c r="M58">
        <v>17</v>
      </c>
      <c r="N58">
        <v>32</v>
      </c>
      <c r="O58">
        <v>21</v>
      </c>
      <c r="P58">
        <v>34</v>
      </c>
      <c r="Q58">
        <v>73</v>
      </c>
    </row>
    <row r="60" spans="1:17" x14ac:dyDescent="0.25">
      <c r="A60" t="s">
        <v>14</v>
      </c>
      <c r="F60">
        <v>1748</v>
      </c>
      <c r="G60">
        <v>0</v>
      </c>
      <c r="H60">
        <v>2531</v>
      </c>
      <c r="J60">
        <v>1743</v>
      </c>
      <c r="K60">
        <v>1879</v>
      </c>
      <c r="L60">
        <v>3984</v>
      </c>
      <c r="M60">
        <v>1063</v>
      </c>
      <c r="N60">
        <v>2476</v>
      </c>
      <c r="O60">
        <v>934</v>
      </c>
      <c r="P60">
        <v>1294</v>
      </c>
      <c r="Q60">
        <v>2224</v>
      </c>
    </row>
    <row r="61" spans="1:17" x14ac:dyDescent="0.25">
      <c r="A61" t="s">
        <v>298</v>
      </c>
    </row>
    <row r="63" spans="1:17" x14ac:dyDescent="0.25">
      <c r="A63" t="s">
        <v>15</v>
      </c>
      <c r="F63">
        <v>7</v>
      </c>
      <c r="G63">
        <v>0</v>
      </c>
      <c r="H63">
        <v>14</v>
      </c>
      <c r="J63">
        <v>20</v>
      </c>
      <c r="K63">
        <v>9</v>
      </c>
      <c r="L63">
        <v>25</v>
      </c>
      <c r="M63">
        <v>1</v>
      </c>
      <c r="N63">
        <v>6</v>
      </c>
      <c r="O63">
        <v>2</v>
      </c>
      <c r="P63">
        <v>5</v>
      </c>
      <c r="Q63">
        <v>3</v>
      </c>
    </row>
    <row r="64" spans="1:17" x14ac:dyDescent="0.25">
      <c r="A64" t="s">
        <v>297</v>
      </c>
    </row>
    <row r="66" spans="1:32" x14ac:dyDescent="0.25">
      <c r="A66" t="s">
        <v>16</v>
      </c>
      <c r="F66">
        <v>73</v>
      </c>
      <c r="G66">
        <v>0</v>
      </c>
      <c r="H66">
        <v>92</v>
      </c>
      <c r="J66">
        <v>78</v>
      </c>
      <c r="K66">
        <v>68</v>
      </c>
      <c r="L66">
        <v>79</v>
      </c>
      <c r="M66">
        <v>49</v>
      </c>
      <c r="N66">
        <v>91</v>
      </c>
      <c r="O66">
        <v>94</v>
      </c>
      <c r="P66">
        <v>68</v>
      </c>
      <c r="Q66">
        <v>77</v>
      </c>
    </row>
    <row r="68" spans="1:32" x14ac:dyDescent="0.25">
      <c r="A68" t="s">
        <v>17</v>
      </c>
      <c r="G68">
        <v>0</v>
      </c>
      <c r="H68">
        <v>2.1000000000000001E-2</v>
      </c>
      <c r="J68">
        <v>2.4E-2</v>
      </c>
      <c r="K68">
        <v>2.1000000000000001E-2</v>
      </c>
      <c r="L68">
        <v>2.5999999999999999E-2</v>
      </c>
      <c r="M68">
        <v>2E-3</v>
      </c>
      <c r="N68">
        <v>1.0999999999999999E-2</v>
      </c>
      <c r="O68">
        <v>6.0000000000000001E-3</v>
      </c>
      <c r="P68">
        <v>1.2999999999999999E-2</v>
      </c>
      <c r="Q68">
        <v>8.9999999999999993E-3</v>
      </c>
    </row>
    <row r="70" spans="1:32" x14ac:dyDescent="0.25">
      <c r="A70" t="s">
        <v>135</v>
      </c>
      <c r="B70" s="4" t="e">
        <f t="shared" ref="B70:D70" si="19">B49/B34</f>
        <v>#DIV/0!</v>
      </c>
      <c r="D70" s="4" t="e">
        <f t="shared" si="19"/>
        <v>#DIV/0!</v>
      </c>
      <c r="E70" s="4" t="e">
        <f t="shared" ref="E70:F70" si="20">E49/E34</f>
        <v>#DIV/0!</v>
      </c>
      <c r="F70" s="4">
        <f t="shared" si="20"/>
        <v>9.1025641025641022</v>
      </c>
      <c r="G70" s="4" t="e">
        <f t="shared" ref="G70:H70" si="21">G49/G34</f>
        <v>#DIV/0!</v>
      </c>
      <c r="H70" s="4">
        <f t="shared" si="21"/>
        <v>20.484848484848484</v>
      </c>
      <c r="I70" s="4"/>
      <c r="J70" s="4">
        <f t="shared" ref="J70:O70" si="22">J49/J34</f>
        <v>12.072463768115941</v>
      </c>
      <c r="K70" s="4">
        <f t="shared" si="22"/>
        <v>4.720430107526882</v>
      </c>
      <c r="L70" s="4">
        <f t="shared" si="22"/>
        <v>12.636363636363637</v>
      </c>
      <c r="M70" s="4">
        <f t="shared" si="22"/>
        <v>16.096774193548388</v>
      </c>
      <c r="N70" s="4">
        <f t="shared" si="22"/>
        <v>5.8762886597938149</v>
      </c>
      <c r="O70" s="4">
        <f t="shared" si="22"/>
        <v>4.6086956521739131</v>
      </c>
      <c r="AF70" s="4" t="e">
        <f>AF49/AF34</f>
        <v>#DIV/0!</v>
      </c>
    </row>
    <row r="71" spans="1:32" x14ac:dyDescent="0.25">
      <c r="B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AF71" s="4"/>
    </row>
    <row r="72" spans="1:32" x14ac:dyDescent="0.25">
      <c r="A72" t="s">
        <v>160</v>
      </c>
      <c r="B72" s="5" t="e">
        <f>(B31+B34+B37)/SUM(B31:B66)</f>
        <v>#DIV/0!</v>
      </c>
      <c r="D72" s="5" t="e">
        <f>(D31+D34+D37)/SUM(D31:D66)</f>
        <v>#DIV/0!</v>
      </c>
      <c r="E72" s="5" t="e">
        <f>(E31+E34+E37)/SUM(E31:E66)</f>
        <v>#DIV/0!</v>
      </c>
      <c r="F72" s="5">
        <f>(F31+F34+F37)/SUM(F31:F66)</f>
        <v>4.5695866514979144E-2</v>
      </c>
      <c r="G72" s="5" t="e">
        <f>(G31+G34+G37)/SUM(G31:G66)</f>
        <v>#DIV/0!</v>
      </c>
      <c r="H72" s="5">
        <f>(H31+H34+H37)/SUM(H31:H66)</f>
        <v>3.6941464077142466E-2</v>
      </c>
      <c r="I72" s="5"/>
      <c r="J72" s="5">
        <f t="shared" ref="J72:Q72" si="23">(J31+J34+J37)/SUM(J31:J66)</f>
        <v>4.8586707410236823E-2</v>
      </c>
      <c r="K72" s="5">
        <f t="shared" si="23"/>
        <v>6.0571644898731784E-2</v>
      </c>
      <c r="L72" s="5">
        <f t="shared" si="23"/>
        <v>3.9050822122571001E-2</v>
      </c>
      <c r="M72" s="5">
        <f t="shared" si="23"/>
        <v>4.4621888210427431E-2</v>
      </c>
      <c r="N72" s="5">
        <f t="shared" si="23"/>
        <v>6.1984012580264709E-2</v>
      </c>
      <c r="O72" s="5">
        <f t="shared" si="23"/>
        <v>3.4641215977377168E-2</v>
      </c>
      <c r="P72" s="5">
        <f t="shared" si="23"/>
        <v>5.9103766562453475E-2</v>
      </c>
      <c r="Q72" s="5">
        <f t="shared" si="23"/>
        <v>2.6437541308658295E-2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 t="e">
        <f>(AF31+AF34+AF37)/SUM(AF31:AF66)</f>
        <v>#DIV/0!</v>
      </c>
    </row>
    <row r="74" spans="1:32" x14ac:dyDescent="0.25">
      <c r="A74" t="s">
        <v>220</v>
      </c>
      <c r="F74">
        <v>12.6</v>
      </c>
      <c r="G74">
        <v>11.9</v>
      </c>
      <c r="J74">
        <v>8.02</v>
      </c>
      <c r="K74">
        <v>10.44</v>
      </c>
      <c r="L74">
        <v>7.58</v>
      </c>
    </row>
    <row r="76" spans="1:32" x14ac:dyDescent="0.25">
      <c r="A76" t="s">
        <v>18</v>
      </c>
      <c r="B76">
        <v>35.700000000000003</v>
      </c>
      <c r="C76">
        <v>36.299999999999997</v>
      </c>
      <c r="D76">
        <v>36.1</v>
      </c>
      <c r="E76">
        <v>37.5</v>
      </c>
      <c r="F76">
        <v>35.4</v>
      </c>
      <c r="G76">
        <v>36.4</v>
      </c>
      <c r="H76">
        <v>37.5</v>
      </c>
      <c r="I76">
        <v>36.9</v>
      </c>
      <c r="J76">
        <v>38.1</v>
      </c>
      <c r="K76">
        <v>40.200000000000003</v>
      </c>
      <c r="L76">
        <v>40.6</v>
      </c>
      <c r="M76">
        <v>42.8</v>
      </c>
      <c r="N76">
        <v>42.3</v>
      </c>
      <c r="O76">
        <v>40.5</v>
      </c>
      <c r="P76">
        <v>41.7</v>
      </c>
      <c r="Q76">
        <v>41.6</v>
      </c>
      <c r="X76">
        <v>40.4</v>
      </c>
      <c r="Y76">
        <v>42.3</v>
      </c>
      <c r="Z76">
        <v>42.1</v>
      </c>
      <c r="AA76">
        <v>42.7</v>
      </c>
    </row>
    <row r="77" spans="1:32" x14ac:dyDescent="0.25">
      <c r="A77" t="s">
        <v>115</v>
      </c>
      <c r="B77">
        <f t="shared" ref="B77:D77" si="24">B76</f>
        <v>35.700000000000003</v>
      </c>
      <c r="D77">
        <f t="shared" si="24"/>
        <v>36.1</v>
      </c>
      <c r="E77">
        <f t="shared" ref="E77:F77" si="25">E76</f>
        <v>37.5</v>
      </c>
      <c r="F77">
        <f t="shared" si="25"/>
        <v>35.4</v>
      </c>
      <c r="G77">
        <f t="shared" ref="G77:H77" si="26">G76</f>
        <v>36.4</v>
      </c>
      <c r="H77">
        <f t="shared" si="26"/>
        <v>37.5</v>
      </c>
      <c r="I77">
        <f>I76</f>
        <v>36.9</v>
      </c>
      <c r="J77">
        <f t="shared" ref="J77:O77" si="27">J76</f>
        <v>38.1</v>
      </c>
      <c r="K77">
        <f t="shared" si="27"/>
        <v>40.200000000000003</v>
      </c>
      <c r="L77">
        <f t="shared" si="27"/>
        <v>40.6</v>
      </c>
      <c r="M77">
        <f t="shared" si="27"/>
        <v>42.8</v>
      </c>
      <c r="N77">
        <f t="shared" si="27"/>
        <v>42.3</v>
      </c>
      <c r="O77">
        <f t="shared" si="27"/>
        <v>40.5</v>
      </c>
      <c r="P77">
        <f t="shared" ref="P77:Q77" si="28">P76</f>
        <v>41.7</v>
      </c>
      <c r="Q77">
        <f t="shared" si="28"/>
        <v>41.6</v>
      </c>
      <c r="AF77">
        <f>AF76</f>
        <v>0</v>
      </c>
    </row>
    <row r="78" spans="1:32" x14ac:dyDescent="0.25">
      <c r="A78" t="s">
        <v>121</v>
      </c>
    </row>
    <row r="80" spans="1:32" x14ac:dyDescent="0.25">
      <c r="A80" t="s">
        <v>19</v>
      </c>
      <c r="B80">
        <v>12.7</v>
      </c>
      <c r="C80">
        <v>13</v>
      </c>
      <c r="D80">
        <v>13</v>
      </c>
      <c r="E80">
        <v>13.4</v>
      </c>
      <c r="F80">
        <v>13.1</v>
      </c>
      <c r="G80">
        <v>13.2</v>
      </c>
      <c r="H80">
        <v>13.1</v>
      </c>
      <c r="I80">
        <v>12.9</v>
      </c>
      <c r="J80">
        <v>13.4</v>
      </c>
      <c r="K80">
        <v>13.8</v>
      </c>
      <c r="L80">
        <v>14.3</v>
      </c>
      <c r="M80">
        <v>15.6</v>
      </c>
      <c r="N80">
        <v>15.1</v>
      </c>
      <c r="O80">
        <v>15.1</v>
      </c>
      <c r="P80">
        <v>14.9</v>
      </c>
      <c r="Q80">
        <v>14.8</v>
      </c>
      <c r="X80">
        <v>14.2</v>
      </c>
      <c r="Y80">
        <v>14.8</v>
      </c>
      <c r="Z80">
        <v>13.9</v>
      </c>
      <c r="AA80">
        <v>14.2</v>
      </c>
    </row>
    <row r="81" spans="1:32" x14ac:dyDescent="0.25">
      <c r="A81" t="s">
        <v>108</v>
      </c>
      <c r="B81">
        <f t="shared" ref="B81:D81" si="29">B80</f>
        <v>12.7</v>
      </c>
      <c r="D81">
        <f t="shared" si="29"/>
        <v>13</v>
      </c>
      <c r="E81">
        <f t="shared" ref="E81:F81" si="30">E80</f>
        <v>13.4</v>
      </c>
      <c r="F81">
        <f t="shared" si="30"/>
        <v>13.1</v>
      </c>
      <c r="G81">
        <f t="shared" ref="G81:H81" si="31">G80</f>
        <v>13.2</v>
      </c>
      <c r="H81">
        <f t="shared" si="31"/>
        <v>13.1</v>
      </c>
      <c r="I81">
        <f>I80</f>
        <v>12.9</v>
      </c>
      <c r="J81">
        <f t="shared" ref="J81:O81" si="32">J80</f>
        <v>13.4</v>
      </c>
      <c r="K81">
        <f t="shared" si="32"/>
        <v>13.8</v>
      </c>
      <c r="L81">
        <f t="shared" si="32"/>
        <v>14.3</v>
      </c>
      <c r="M81">
        <f t="shared" si="32"/>
        <v>15.6</v>
      </c>
      <c r="N81">
        <f t="shared" si="32"/>
        <v>15.1</v>
      </c>
      <c r="O81">
        <f t="shared" si="32"/>
        <v>15.1</v>
      </c>
      <c r="P81">
        <f t="shared" ref="P81:Q81" si="33">P80</f>
        <v>14.9</v>
      </c>
      <c r="Q81">
        <f t="shared" si="33"/>
        <v>14.8</v>
      </c>
      <c r="AF81">
        <f>AF80</f>
        <v>0</v>
      </c>
    </row>
    <row r="83" spans="1:32" x14ac:dyDescent="0.25">
      <c r="A83" t="s">
        <v>20</v>
      </c>
      <c r="B83">
        <v>3.83</v>
      </c>
      <c r="C83">
        <v>3.86</v>
      </c>
      <c r="D83">
        <v>3.91</v>
      </c>
      <c r="E83">
        <v>4.05</v>
      </c>
      <c r="F83">
        <v>3.84</v>
      </c>
      <c r="G83">
        <v>4.03</v>
      </c>
      <c r="H83">
        <v>4.2699999999999996</v>
      </c>
      <c r="I83">
        <v>4.29</v>
      </c>
      <c r="J83">
        <v>4.33</v>
      </c>
      <c r="K83">
        <v>4.42</v>
      </c>
      <c r="L83">
        <v>4.55</v>
      </c>
      <c r="M83">
        <v>4.8899999999999997</v>
      </c>
      <c r="N83">
        <v>4.78</v>
      </c>
      <c r="O83">
        <v>4.6500000000000004</v>
      </c>
      <c r="P83">
        <v>4.75</v>
      </c>
      <c r="Q83">
        <v>4.88</v>
      </c>
      <c r="X83">
        <v>4.4800000000000004</v>
      </c>
      <c r="Y83">
        <v>4.63</v>
      </c>
      <c r="Z83">
        <v>4.71</v>
      </c>
      <c r="AA83">
        <v>4.63</v>
      </c>
    </row>
    <row r="84" spans="1:32" x14ac:dyDescent="0.25">
      <c r="A84" t="s">
        <v>114</v>
      </c>
      <c r="B84">
        <f t="shared" ref="B84:D84" si="34">B83</f>
        <v>3.83</v>
      </c>
      <c r="D84">
        <f t="shared" si="34"/>
        <v>3.91</v>
      </c>
      <c r="E84">
        <f t="shared" ref="E84:F84" si="35">E83</f>
        <v>4.05</v>
      </c>
      <c r="F84">
        <f t="shared" si="35"/>
        <v>3.84</v>
      </c>
      <c r="G84">
        <f t="shared" ref="G84:H84" si="36">G83</f>
        <v>4.03</v>
      </c>
      <c r="H84">
        <f t="shared" si="36"/>
        <v>4.2699999999999996</v>
      </c>
      <c r="I84">
        <f>I83</f>
        <v>4.29</v>
      </c>
      <c r="J84">
        <f t="shared" ref="J84:O84" si="37">J83</f>
        <v>4.33</v>
      </c>
      <c r="K84">
        <f t="shared" si="37"/>
        <v>4.42</v>
      </c>
      <c r="L84">
        <f t="shared" si="37"/>
        <v>4.55</v>
      </c>
      <c r="M84">
        <f t="shared" si="37"/>
        <v>4.8899999999999997</v>
      </c>
      <c r="N84">
        <f t="shared" si="37"/>
        <v>4.78</v>
      </c>
      <c r="O84">
        <f t="shared" si="37"/>
        <v>4.6500000000000004</v>
      </c>
      <c r="P84">
        <f t="shared" ref="P84:Q84" si="38">P83</f>
        <v>4.75</v>
      </c>
      <c r="Q84">
        <f t="shared" si="38"/>
        <v>4.88</v>
      </c>
      <c r="AF84">
        <f>AF83</f>
        <v>0</v>
      </c>
    </row>
    <row r="85" spans="1:32" x14ac:dyDescent="0.25">
      <c r="A85" t="s">
        <v>121</v>
      </c>
    </row>
    <row r="87" spans="1:32" x14ac:dyDescent="0.25">
      <c r="A87" t="s">
        <v>21</v>
      </c>
      <c r="B87">
        <v>93.3</v>
      </c>
      <c r="C87">
        <v>94</v>
      </c>
      <c r="D87">
        <v>92.3</v>
      </c>
      <c r="E87">
        <v>92.7</v>
      </c>
      <c r="F87">
        <v>92.3</v>
      </c>
      <c r="G87">
        <v>90.3</v>
      </c>
      <c r="H87">
        <v>87.8</v>
      </c>
      <c r="I87">
        <v>85.9</v>
      </c>
      <c r="J87">
        <v>88</v>
      </c>
      <c r="K87">
        <v>91</v>
      </c>
      <c r="L87">
        <v>89.2</v>
      </c>
      <c r="M87">
        <v>87.5</v>
      </c>
      <c r="N87">
        <v>88.5</v>
      </c>
      <c r="O87">
        <v>87.1</v>
      </c>
      <c r="P87">
        <v>87.8</v>
      </c>
      <c r="Q87">
        <v>85.2</v>
      </c>
      <c r="X87">
        <v>90.1</v>
      </c>
      <c r="Y87">
        <v>91.4</v>
      </c>
    </row>
    <row r="88" spans="1:32" x14ac:dyDescent="0.25">
      <c r="A88" t="s">
        <v>113</v>
      </c>
      <c r="B88">
        <f t="shared" ref="B88:D88" si="39">B87</f>
        <v>93.3</v>
      </c>
      <c r="D88">
        <f t="shared" si="39"/>
        <v>92.3</v>
      </c>
      <c r="E88">
        <f t="shared" ref="E88:F88" si="40">E87</f>
        <v>92.7</v>
      </c>
      <c r="F88">
        <f t="shared" si="40"/>
        <v>92.3</v>
      </c>
      <c r="G88">
        <f t="shared" ref="G88:H88" si="41">G87</f>
        <v>90.3</v>
      </c>
      <c r="H88">
        <f t="shared" si="41"/>
        <v>87.8</v>
      </c>
      <c r="I88">
        <f>I87</f>
        <v>85.9</v>
      </c>
      <c r="J88">
        <f t="shared" ref="J88:O88" si="42">J87</f>
        <v>88</v>
      </c>
      <c r="K88">
        <f t="shared" si="42"/>
        <v>91</v>
      </c>
      <c r="L88">
        <f t="shared" si="42"/>
        <v>89.2</v>
      </c>
      <c r="M88">
        <f t="shared" si="42"/>
        <v>87.5</v>
      </c>
      <c r="N88">
        <f t="shared" si="42"/>
        <v>88.5</v>
      </c>
      <c r="O88">
        <f t="shared" si="42"/>
        <v>87.1</v>
      </c>
      <c r="P88">
        <f t="shared" ref="P88:Q88" si="43">P87</f>
        <v>87.8</v>
      </c>
      <c r="Q88">
        <f t="shared" si="43"/>
        <v>85.2</v>
      </c>
      <c r="AF88">
        <f>AF87</f>
        <v>0</v>
      </c>
    </row>
    <row r="89" spans="1:32" x14ac:dyDescent="0.25">
      <c r="A89" t="s">
        <v>205</v>
      </c>
    </row>
    <row r="91" spans="1:32" x14ac:dyDescent="0.25">
      <c r="A91" t="s">
        <v>22</v>
      </c>
      <c r="B91">
        <v>11.9</v>
      </c>
      <c r="C91">
        <v>12.2</v>
      </c>
      <c r="D91">
        <v>11.8</v>
      </c>
      <c r="E91">
        <v>12</v>
      </c>
      <c r="F91">
        <v>12.1</v>
      </c>
      <c r="G91">
        <v>12.5</v>
      </c>
      <c r="H91">
        <v>13.7</v>
      </c>
      <c r="I91">
        <v>12.7</v>
      </c>
      <c r="J91">
        <v>13.7</v>
      </c>
      <c r="K91">
        <v>12.4</v>
      </c>
      <c r="L91">
        <v>12.2</v>
      </c>
      <c r="M91">
        <v>12.3</v>
      </c>
      <c r="N91">
        <v>12.8</v>
      </c>
      <c r="O91">
        <v>12.7</v>
      </c>
      <c r="P91">
        <v>12.8</v>
      </c>
      <c r="Q91">
        <v>12.5</v>
      </c>
      <c r="X91">
        <v>12</v>
      </c>
      <c r="Y91">
        <v>11.9</v>
      </c>
    </row>
    <row r="92" spans="1:32" x14ac:dyDescent="0.25">
      <c r="A92" t="s">
        <v>112</v>
      </c>
      <c r="B92">
        <f t="shared" ref="B92:D92" si="44">B91</f>
        <v>11.9</v>
      </c>
      <c r="D92">
        <f t="shared" si="44"/>
        <v>11.8</v>
      </c>
      <c r="E92">
        <f t="shared" ref="E92:F92" si="45">E91</f>
        <v>12</v>
      </c>
      <c r="F92">
        <f t="shared" si="45"/>
        <v>12.1</v>
      </c>
      <c r="G92">
        <f t="shared" ref="G92:H92" si="46">G91</f>
        <v>12.5</v>
      </c>
      <c r="H92">
        <f t="shared" si="46"/>
        <v>13.7</v>
      </c>
      <c r="I92">
        <f>I91</f>
        <v>12.7</v>
      </c>
      <c r="J92">
        <f t="shared" ref="J92:O92" si="47">J91</f>
        <v>13.7</v>
      </c>
      <c r="K92">
        <f t="shared" si="47"/>
        <v>12.4</v>
      </c>
      <c r="L92">
        <f t="shared" si="47"/>
        <v>12.2</v>
      </c>
      <c r="M92">
        <f t="shared" si="47"/>
        <v>12.3</v>
      </c>
      <c r="N92">
        <f t="shared" si="47"/>
        <v>12.8</v>
      </c>
      <c r="O92">
        <f t="shared" si="47"/>
        <v>12.7</v>
      </c>
      <c r="P92">
        <f t="shared" ref="P92:Q92" si="48">P91</f>
        <v>12.8</v>
      </c>
      <c r="Q92">
        <f t="shared" si="48"/>
        <v>12.5</v>
      </c>
      <c r="AF92">
        <f>AF91</f>
        <v>0</v>
      </c>
    </row>
    <row r="93" spans="1:32" x14ac:dyDescent="0.25">
      <c r="A93" t="s">
        <v>161</v>
      </c>
    </row>
    <row r="94" spans="1:32" x14ac:dyDescent="0.25">
      <c r="A94" t="s">
        <v>205</v>
      </c>
    </row>
    <row r="95" spans="1:32" x14ac:dyDescent="0.25">
      <c r="A95" t="s">
        <v>231</v>
      </c>
    </row>
    <row r="97" spans="1:32" x14ac:dyDescent="0.25">
      <c r="A97" t="s">
        <v>23</v>
      </c>
      <c r="B97">
        <v>33.1</v>
      </c>
      <c r="C97">
        <v>33.799999999999997</v>
      </c>
      <c r="D97">
        <v>33.299999999999997</v>
      </c>
      <c r="E97">
        <v>33.200000000000003</v>
      </c>
      <c r="F97">
        <v>34.200000000000003</v>
      </c>
      <c r="G97">
        <v>32.700000000000003</v>
      </c>
      <c r="H97">
        <v>30.6</v>
      </c>
      <c r="I97">
        <v>30.1</v>
      </c>
      <c r="J97">
        <v>31</v>
      </c>
      <c r="K97">
        <v>31.2</v>
      </c>
      <c r="L97">
        <v>31.4</v>
      </c>
      <c r="M97">
        <v>31.9</v>
      </c>
      <c r="N97">
        <v>31.6</v>
      </c>
      <c r="O97">
        <v>32.5</v>
      </c>
      <c r="P97">
        <v>31.4</v>
      </c>
      <c r="Q97">
        <v>30.3</v>
      </c>
      <c r="X97">
        <v>31.6</v>
      </c>
      <c r="Y97">
        <v>32</v>
      </c>
    </row>
    <row r="98" spans="1:32" x14ac:dyDescent="0.25">
      <c r="A98" t="s">
        <v>111</v>
      </c>
      <c r="B98">
        <f t="shared" ref="B98:D98" si="49">B97</f>
        <v>33.1</v>
      </c>
      <c r="D98">
        <f t="shared" si="49"/>
        <v>33.299999999999997</v>
      </c>
      <c r="E98">
        <f t="shared" ref="E98:F98" si="50">E97</f>
        <v>33.200000000000003</v>
      </c>
      <c r="F98">
        <f t="shared" si="50"/>
        <v>34.200000000000003</v>
      </c>
      <c r="G98">
        <f t="shared" ref="G98:H98" si="51">G97</f>
        <v>32.700000000000003</v>
      </c>
      <c r="H98">
        <f t="shared" si="51"/>
        <v>30.6</v>
      </c>
      <c r="I98">
        <f>I97</f>
        <v>30.1</v>
      </c>
      <c r="J98">
        <f t="shared" ref="J98:O98" si="52">J97</f>
        <v>31</v>
      </c>
      <c r="K98">
        <f t="shared" si="52"/>
        <v>31.2</v>
      </c>
      <c r="L98">
        <f t="shared" si="52"/>
        <v>31.4</v>
      </c>
      <c r="M98">
        <f t="shared" si="52"/>
        <v>31.9</v>
      </c>
      <c r="N98">
        <f t="shared" si="52"/>
        <v>31.6</v>
      </c>
      <c r="O98">
        <f t="shared" si="52"/>
        <v>32.5</v>
      </c>
      <c r="P98">
        <f t="shared" ref="P98:Q98" si="53">P97</f>
        <v>31.4</v>
      </c>
      <c r="Q98">
        <f t="shared" si="53"/>
        <v>30.3</v>
      </c>
      <c r="AF98">
        <f>AF97</f>
        <v>0</v>
      </c>
    </row>
    <row r="99" spans="1:32" x14ac:dyDescent="0.25">
      <c r="A99" t="s">
        <v>120</v>
      </c>
    </row>
    <row r="101" spans="1:32" x14ac:dyDescent="0.25">
      <c r="A101" t="s">
        <v>24</v>
      </c>
      <c r="B101">
        <v>35.6</v>
      </c>
      <c r="C101">
        <v>35.799999999999997</v>
      </c>
      <c r="D101">
        <v>36</v>
      </c>
      <c r="E101">
        <v>35.700000000000003</v>
      </c>
      <c r="F101">
        <v>37</v>
      </c>
      <c r="G101">
        <v>36.299999999999997</v>
      </c>
      <c r="H101">
        <v>34.9</v>
      </c>
      <c r="I101">
        <v>35</v>
      </c>
      <c r="J101">
        <v>35.200000000000003</v>
      </c>
      <c r="K101">
        <v>34.299999999999997</v>
      </c>
      <c r="L101">
        <v>35.200000000000003</v>
      </c>
      <c r="M101">
        <v>36.4</v>
      </c>
      <c r="N101">
        <v>35.700000000000003</v>
      </c>
      <c r="O101">
        <v>37.299999999999997</v>
      </c>
      <c r="P101">
        <v>35.700000000000003</v>
      </c>
      <c r="Q101">
        <v>35.6</v>
      </c>
      <c r="X101">
        <v>35.1</v>
      </c>
      <c r="Y101">
        <v>35</v>
      </c>
    </row>
    <row r="102" spans="1:32" x14ac:dyDescent="0.25">
      <c r="A102" t="s">
        <v>110</v>
      </c>
      <c r="B102">
        <f t="shared" ref="B102:D102" si="54">B101</f>
        <v>35.6</v>
      </c>
      <c r="D102">
        <f t="shared" si="54"/>
        <v>36</v>
      </c>
      <c r="E102">
        <f t="shared" ref="E102:F102" si="55">E101</f>
        <v>35.700000000000003</v>
      </c>
      <c r="F102">
        <f t="shared" si="55"/>
        <v>37</v>
      </c>
      <c r="G102">
        <f t="shared" ref="G102:H102" si="56">G101</f>
        <v>36.299999999999997</v>
      </c>
      <c r="H102">
        <f t="shared" si="56"/>
        <v>34.9</v>
      </c>
      <c r="I102">
        <f>I101</f>
        <v>35</v>
      </c>
      <c r="J102">
        <f t="shared" ref="J102:O102" si="57">J101</f>
        <v>35.200000000000003</v>
      </c>
      <c r="K102">
        <f t="shared" si="57"/>
        <v>34.299999999999997</v>
      </c>
      <c r="L102">
        <f t="shared" si="57"/>
        <v>35.200000000000003</v>
      </c>
      <c r="M102">
        <f t="shared" si="57"/>
        <v>36.4</v>
      </c>
      <c r="N102">
        <f t="shared" si="57"/>
        <v>35.700000000000003</v>
      </c>
      <c r="O102">
        <f t="shared" si="57"/>
        <v>37.299999999999997</v>
      </c>
      <c r="P102">
        <f t="shared" ref="P102:Q102" si="58">P101</f>
        <v>35.700000000000003</v>
      </c>
      <c r="Q102">
        <f t="shared" si="58"/>
        <v>35.6</v>
      </c>
      <c r="AF102">
        <f>AF101</f>
        <v>0</v>
      </c>
    </row>
    <row r="103" spans="1:32" x14ac:dyDescent="0.25">
      <c r="A103" t="s">
        <v>120</v>
      </c>
    </row>
    <row r="105" spans="1:32" x14ac:dyDescent="0.25">
      <c r="A105" t="s">
        <v>25</v>
      </c>
      <c r="B105">
        <v>209</v>
      </c>
      <c r="C105">
        <v>184</v>
      </c>
      <c r="D105">
        <v>190</v>
      </c>
      <c r="E105">
        <v>193</v>
      </c>
      <c r="F105">
        <v>192</v>
      </c>
      <c r="G105">
        <v>173</v>
      </c>
      <c r="H105">
        <v>188</v>
      </c>
      <c r="I105">
        <v>306</v>
      </c>
      <c r="J105">
        <v>193</v>
      </c>
      <c r="K105">
        <v>166</v>
      </c>
      <c r="L105">
        <v>165</v>
      </c>
      <c r="M105">
        <v>172</v>
      </c>
      <c r="N105">
        <v>165</v>
      </c>
      <c r="O105">
        <v>159</v>
      </c>
      <c r="P105">
        <v>166</v>
      </c>
      <c r="Q105">
        <v>203</v>
      </c>
      <c r="X105">
        <v>256</v>
      </c>
      <c r="Y105">
        <v>167</v>
      </c>
      <c r="Z105">
        <v>161</v>
      </c>
      <c r="AA105">
        <v>185</v>
      </c>
    </row>
    <row r="106" spans="1:32" x14ac:dyDescent="0.25">
      <c r="A106" t="s">
        <v>109</v>
      </c>
      <c r="B106">
        <f t="shared" ref="B106:D106" si="59">B105</f>
        <v>209</v>
      </c>
      <c r="D106">
        <f t="shared" si="59"/>
        <v>190</v>
      </c>
      <c r="E106">
        <f t="shared" ref="E106:F106" si="60">E105</f>
        <v>193</v>
      </c>
      <c r="F106">
        <f t="shared" si="60"/>
        <v>192</v>
      </c>
      <c r="G106">
        <f t="shared" ref="G106:H106" si="61">G105</f>
        <v>173</v>
      </c>
      <c r="H106">
        <f t="shared" si="61"/>
        <v>188</v>
      </c>
      <c r="I106">
        <f>I105</f>
        <v>306</v>
      </c>
      <c r="J106">
        <f t="shared" ref="J106:O106" si="62">J105</f>
        <v>193</v>
      </c>
      <c r="K106">
        <f t="shared" si="62"/>
        <v>166</v>
      </c>
      <c r="L106">
        <f t="shared" si="62"/>
        <v>165</v>
      </c>
      <c r="M106">
        <f t="shared" si="62"/>
        <v>172</v>
      </c>
      <c r="N106">
        <f t="shared" si="62"/>
        <v>165</v>
      </c>
      <c r="O106">
        <f t="shared" si="62"/>
        <v>159</v>
      </c>
      <c r="P106">
        <f t="shared" ref="P106:Q106" si="63">P105</f>
        <v>166</v>
      </c>
      <c r="Q106">
        <f t="shared" si="63"/>
        <v>203</v>
      </c>
      <c r="AF106">
        <f>AF105</f>
        <v>0</v>
      </c>
    </row>
    <row r="108" spans="1:32" x14ac:dyDescent="0.25">
      <c r="A108" t="s">
        <v>26</v>
      </c>
      <c r="B108">
        <v>3.67</v>
      </c>
      <c r="C108">
        <v>3.11</v>
      </c>
      <c r="D108">
        <v>2.88</v>
      </c>
      <c r="E108">
        <v>3.69</v>
      </c>
      <c r="F108">
        <v>2.62</v>
      </c>
      <c r="G108">
        <v>2.59</v>
      </c>
      <c r="H108">
        <v>3.31</v>
      </c>
      <c r="I108">
        <v>5.99</v>
      </c>
      <c r="J108">
        <v>3.71</v>
      </c>
      <c r="K108">
        <v>3.07</v>
      </c>
      <c r="L108">
        <v>3.33</v>
      </c>
      <c r="M108">
        <v>4.09</v>
      </c>
      <c r="N108">
        <v>3.22</v>
      </c>
      <c r="O108">
        <v>3.57</v>
      </c>
      <c r="P108">
        <v>3.16</v>
      </c>
      <c r="Q108">
        <v>4</v>
      </c>
      <c r="X108">
        <v>7.6</v>
      </c>
      <c r="Y108">
        <v>6.3</v>
      </c>
      <c r="Z108">
        <v>4.62</v>
      </c>
      <c r="AA108">
        <v>4.7</v>
      </c>
    </row>
    <row r="109" spans="1:32" x14ac:dyDescent="0.25">
      <c r="A109" t="s">
        <v>99</v>
      </c>
      <c r="B109">
        <f t="shared" ref="B109:D109" si="64">B108</f>
        <v>3.67</v>
      </c>
      <c r="D109">
        <f t="shared" si="64"/>
        <v>2.88</v>
      </c>
      <c r="E109">
        <f t="shared" ref="E109:F109" si="65">E108</f>
        <v>3.69</v>
      </c>
      <c r="F109">
        <f t="shared" si="65"/>
        <v>2.62</v>
      </c>
      <c r="G109">
        <f t="shared" ref="G109:H109" si="66">G108</f>
        <v>2.59</v>
      </c>
      <c r="H109">
        <f t="shared" si="66"/>
        <v>3.31</v>
      </c>
      <c r="I109">
        <f>I108</f>
        <v>5.99</v>
      </c>
      <c r="J109">
        <f t="shared" ref="J109:O109" si="67">J108</f>
        <v>3.71</v>
      </c>
      <c r="K109">
        <f t="shared" si="67"/>
        <v>3.07</v>
      </c>
      <c r="L109">
        <f t="shared" si="67"/>
        <v>3.33</v>
      </c>
      <c r="M109">
        <f t="shared" si="67"/>
        <v>4.09</v>
      </c>
      <c r="N109">
        <f t="shared" si="67"/>
        <v>3.22</v>
      </c>
      <c r="O109">
        <f t="shared" si="67"/>
        <v>3.57</v>
      </c>
      <c r="P109">
        <f t="shared" ref="P109:Q109" si="68">P108</f>
        <v>3.16</v>
      </c>
      <c r="Q109">
        <f t="shared" si="68"/>
        <v>4</v>
      </c>
      <c r="AF109">
        <f>AF108</f>
        <v>0</v>
      </c>
    </row>
    <row r="110" spans="1:32" x14ac:dyDescent="0.25">
      <c r="A110" t="s">
        <v>205</v>
      </c>
    </row>
    <row r="112" spans="1:32" x14ac:dyDescent="0.25">
      <c r="A112" t="s">
        <v>385</v>
      </c>
      <c r="D112">
        <v>1</v>
      </c>
      <c r="F112">
        <v>1</v>
      </c>
      <c r="G112">
        <v>3</v>
      </c>
    </row>
    <row r="114" spans="1:32" x14ac:dyDescent="0.25">
      <c r="A114" t="s">
        <v>386</v>
      </c>
      <c r="D114">
        <v>51</v>
      </c>
      <c r="F114">
        <v>50</v>
      </c>
      <c r="G114">
        <v>44</v>
      </c>
    </row>
    <row r="116" spans="1:32" x14ac:dyDescent="0.25">
      <c r="A116" t="s">
        <v>27</v>
      </c>
      <c r="B116">
        <v>57.8</v>
      </c>
      <c r="C116">
        <v>51.6</v>
      </c>
      <c r="D116">
        <v>52</v>
      </c>
      <c r="E116">
        <v>43.5</v>
      </c>
      <c r="F116">
        <v>51</v>
      </c>
      <c r="G116">
        <v>47</v>
      </c>
      <c r="H116">
        <v>44.8</v>
      </c>
      <c r="I116">
        <v>52.3</v>
      </c>
      <c r="J116">
        <v>41.2</v>
      </c>
      <c r="K116">
        <v>44</v>
      </c>
      <c r="L116">
        <v>39.700000000000003</v>
      </c>
      <c r="M116">
        <v>48.9</v>
      </c>
      <c r="N116">
        <v>42.9</v>
      </c>
      <c r="O116">
        <v>44.9</v>
      </c>
      <c r="P116">
        <v>42.7</v>
      </c>
      <c r="Q116">
        <v>48.4</v>
      </c>
      <c r="X116">
        <v>56.5</v>
      </c>
    </row>
    <row r="117" spans="1:32" x14ac:dyDescent="0.25">
      <c r="A117" t="s">
        <v>98</v>
      </c>
      <c r="B117">
        <f t="shared" ref="B117:D117" si="69">B116</f>
        <v>57.8</v>
      </c>
      <c r="D117">
        <f t="shared" si="69"/>
        <v>52</v>
      </c>
      <c r="E117">
        <f t="shared" ref="E117:F117" si="70">E116</f>
        <v>43.5</v>
      </c>
      <c r="F117">
        <f t="shared" si="70"/>
        <v>51</v>
      </c>
      <c r="G117">
        <f t="shared" ref="G117:H117" si="71">G116</f>
        <v>47</v>
      </c>
      <c r="H117">
        <f t="shared" si="71"/>
        <v>44.8</v>
      </c>
      <c r="I117">
        <f>I116</f>
        <v>52.3</v>
      </c>
      <c r="J117">
        <f t="shared" ref="J117:O117" si="72">J116</f>
        <v>41.2</v>
      </c>
      <c r="K117">
        <f t="shared" si="72"/>
        <v>44</v>
      </c>
      <c r="L117">
        <f t="shared" si="72"/>
        <v>39.700000000000003</v>
      </c>
      <c r="M117">
        <f t="shared" si="72"/>
        <v>48.9</v>
      </c>
      <c r="N117">
        <f t="shared" si="72"/>
        <v>42.9</v>
      </c>
      <c r="O117">
        <f t="shared" si="72"/>
        <v>44.9</v>
      </c>
      <c r="P117">
        <f t="shared" ref="P117:Q117" si="73">P116</f>
        <v>42.7</v>
      </c>
      <c r="Q117">
        <f t="shared" si="73"/>
        <v>48.4</v>
      </c>
      <c r="AF117">
        <f>AF116</f>
        <v>0</v>
      </c>
    </row>
    <row r="118" spans="1:32" x14ac:dyDescent="0.25">
      <c r="A118" t="s">
        <v>120</v>
      </c>
    </row>
    <row r="120" spans="1:32" x14ac:dyDescent="0.25">
      <c r="A120" t="s">
        <v>28</v>
      </c>
      <c r="B120">
        <v>32.5</v>
      </c>
      <c r="C120">
        <v>33.799999999999997</v>
      </c>
      <c r="D120">
        <v>33</v>
      </c>
      <c r="E120">
        <v>39.6</v>
      </c>
      <c r="F120">
        <v>39</v>
      </c>
      <c r="G120">
        <v>42</v>
      </c>
      <c r="H120">
        <v>43.6</v>
      </c>
      <c r="I120">
        <v>36.9</v>
      </c>
      <c r="J120">
        <v>47.5</v>
      </c>
      <c r="K120">
        <v>40.4</v>
      </c>
      <c r="L120">
        <v>45.9</v>
      </c>
      <c r="M120">
        <v>36.4</v>
      </c>
      <c r="N120">
        <v>39.799999999999997</v>
      </c>
      <c r="O120">
        <v>36.700000000000003</v>
      </c>
      <c r="P120">
        <v>38.6</v>
      </c>
      <c r="Q120">
        <v>35.299999999999997</v>
      </c>
      <c r="X120">
        <v>31.2</v>
      </c>
      <c r="Y120">
        <v>21</v>
      </c>
      <c r="Z120">
        <v>40.700000000000003</v>
      </c>
      <c r="AA120">
        <v>38</v>
      </c>
    </row>
    <row r="121" spans="1:32" x14ac:dyDescent="0.25">
      <c r="A121" t="s">
        <v>97</v>
      </c>
      <c r="B121">
        <f t="shared" ref="B121:D121" si="74">B120</f>
        <v>32.5</v>
      </c>
      <c r="D121">
        <f t="shared" si="74"/>
        <v>33</v>
      </c>
      <c r="E121">
        <f t="shared" ref="E121:F121" si="75">E120</f>
        <v>39.6</v>
      </c>
      <c r="F121">
        <f t="shared" si="75"/>
        <v>39</v>
      </c>
      <c r="G121">
        <f t="shared" ref="G121:H121" si="76">G120</f>
        <v>42</v>
      </c>
      <c r="H121">
        <f t="shared" si="76"/>
        <v>43.6</v>
      </c>
      <c r="I121">
        <f>I120</f>
        <v>36.9</v>
      </c>
      <c r="J121">
        <f t="shared" ref="J121:O121" si="77">J120</f>
        <v>47.5</v>
      </c>
      <c r="K121">
        <f t="shared" si="77"/>
        <v>40.4</v>
      </c>
      <c r="L121">
        <f t="shared" si="77"/>
        <v>45.9</v>
      </c>
      <c r="M121">
        <f t="shared" si="77"/>
        <v>36.4</v>
      </c>
      <c r="N121">
        <f t="shared" si="77"/>
        <v>39.799999999999997</v>
      </c>
      <c r="O121">
        <f t="shared" si="77"/>
        <v>36.700000000000003</v>
      </c>
      <c r="P121">
        <f t="shared" ref="P121:Q121" si="78">P120</f>
        <v>38.6</v>
      </c>
      <c r="Q121">
        <f t="shared" si="78"/>
        <v>35.299999999999997</v>
      </c>
      <c r="AF121">
        <f>AF120</f>
        <v>0</v>
      </c>
    </row>
    <row r="122" spans="1:32" x14ac:dyDescent="0.25">
      <c r="A122" t="s">
        <v>121</v>
      </c>
    </row>
    <row r="124" spans="1:32" x14ac:dyDescent="0.25">
      <c r="A124" t="s">
        <v>29</v>
      </c>
      <c r="B124">
        <v>7.7</v>
      </c>
      <c r="C124">
        <v>11.7</v>
      </c>
      <c r="D124">
        <v>9</v>
      </c>
      <c r="E124">
        <v>10.8</v>
      </c>
      <c r="F124">
        <v>9</v>
      </c>
      <c r="G124">
        <v>6</v>
      </c>
      <c r="H124">
        <v>8.4</v>
      </c>
      <c r="I124">
        <v>7.9</v>
      </c>
      <c r="J124">
        <v>7.7</v>
      </c>
      <c r="K124">
        <v>10.1</v>
      </c>
      <c r="L124">
        <v>10.5</v>
      </c>
      <c r="M124">
        <v>9.3000000000000007</v>
      </c>
      <c r="N124">
        <v>12.1</v>
      </c>
      <c r="O124">
        <v>12</v>
      </c>
      <c r="P124">
        <v>13.6</v>
      </c>
      <c r="Q124">
        <v>11.3</v>
      </c>
      <c r="X124">
        <v>9.1999999999999993</v>
      </c>
      <c r="Y124">
        <v>5</v>
      </c>
      <c r="Z124">
        <v>10.3</v>
      </c>
      <c r="AA124">
        <v>10</v>
      </c>
    </row>
    <row r="125" spans="1:32" x14ac:dyDescent="0.25">
      <c r="A125" t="s">
        <v>96</v>
      </c>
      <c r="B125">
        <f t="shared" ref="B125:D125" si="79">B124</f>
        <v>7.7</v>
      </c>
      <c r="D125">
        <f t="shared" si="79"/>
        <v>9</v>
      </c>
      <c r="E125">
        <f t="shared" ref="E125:F125" si="80">E124</f>
        <v>10.8</v>
      </c>
      <c r="F125">
        <f t="shared" si="80"/>
        <v>9</v>
      </c>
      <c r="G125">
        <f t="shared" ref="G125:H125" si="81">G124</f>
        <v>6</v>
      </c>
      <c r="H125">
        <f t="shared" si="81"/>
        <v>8.4</v>
      </c>
      <c r="I125">
        <f>I124</f>
        <v>7.9</v>
      </c>
      <c r="J125">
        <f t="shared" ref="J125:O125" si="82">J124</f>
        <v>7.7</v>
      </c>
      <c r="K125">
        <f t="shared" si="82"/>
        <v>10.1</v>
      </c>
      <c r="L125">
        <f t="shared" si="82"/>
        <v>10.5</v>
      </c>
      <c r="M125">
        <f t="shared" si="82"/>
        <v>9.3000000000000007</v>
      </c>
      <c r="N125">
        <f t="shared" si="82"/>
        <v>12.1</v>
      </c>
      <c r="O125">
        <f t="shared" si="82"/>
        <v>12</v>
      </c>
      <c r="P125">
        <f t="shared" ref="P125:Q125" si="83">P124</f>
        <v>13.6</v>
      </c>
      <c r="Q125">
        <f t="shared" si="83"/>
        <v>11.3</v>
      </c>
      <c r="AF125">
        <f>AF124</f>
        <v>0</v>
      </c>
    </row>
    <row r="127" spans="1:32" x14ac:dyDescent="0.25">
      <c r="A127" t="s">
        <v>30</v>
      </c>
      <c r="B127">
        <v>1.3</v>
      </c>
      <c r="C127">
        <v>2</v>
      </c>
      <c r="D127">
        <v>3</v>
      </c>
      <c r="E127">
        <v>4.8</v>
      </c>
      <c r="F127">
        <v>1</v>
      </c>
      <c r="G127">
        <v>4</v>
      </c>
      <c r="H127">
        <v>2.2999999999999998</v>
      </c>
      <c r="I127">
        <v>2</v>
      </c>
      <c r="J127">
        <v>2.4</v>
      </c>
      <c r="K127">
        <v>4.2</v>
      </c>
      <c r="L127">
        <v>2.7</v>
      </c>
      <c r="M127">
        <v>4.2</v>
      </c>
      <c r="N127">
        <v>4.3</v>
      </c>
      <c r="O127">
        <v>5.6</v>
      </c>
      <c r="P127">
        <v>3.5</v>
      </c>
      <c r="Q127">
        <v>4.5</v>
      </c>
      <c r="X127">
        <v>2.2000000000000002</v>
      </c>
      <c r="Y127">
        <v>2</v>
      </c>
      <c r="Z127">
        <v>3.41</v>
      </c>
      <c r="AA127">
        <v>2</v>
      </c>
    </row>
    <row r="128" spans="1:32" x14ac:dyDescent="0.25">
      <c r="A128" t="s">
        <v>95</v>
      </c>
      <c r="B128">
        <f t="shared" ref="B128:D128" si="84">B127</f>
        <v>1.3</v>
      </c>
      <c r="D128">
        <f t="shared" si="84"/>
        <v>3</v>
      </c>
      <c r="E128">
        <f t="shared" ref="E128:F128" si="85">E127</f>
        <v>4.8</v>
      </c>
      <c r="F128">
        <f t="shared" si="85"/>
        <v>1</v>
      </c>
      <c r="G128">
        <f t="shared" ref="G128:H128" si="86">G127</f>
        <v>4</v>
      </c>
      <c r="H128">
        <f t="shared" si="86"/>
        <v>2.2999999999999998</v>
      </c>
      <c r="I128">
        <f>I127</f>
        <v>2</v>
      </c>
      <c r="J128">
        <f t="shared" ref="J128:O128" si="87">J127</f>
        <v>2.4</v>
      </c>
      <c r="K128">
        <f t="shared" si="87"/>
        <v>4.2</v>
      </c>
      <c r="L128">
        <f t="shared" si="87"/>
        <v>2.7</v>
      </c>
      <c r="M128">
        <f t="shared" si="87"/>
        <v>4.2</v>
      </c>
      <c r="N128">
        <f t="shared" si="87"/>
        <v>4.3</v>
      </c>
      <c r="O128">
        <f t="shared" si="87"/>
        <v>5.6</v>
      </c>
      <c r="P128">
        <f t="shared" ref="P128:Q128" si="88">P127</f>
        <v>3.5</v>
      </c>
      <c r="Q128">
        <f t="shared" si="88"/>
        <v>4.5</v>
      </c>
      <c r="AF128">
        <f>AF127</f>
        <v>0</v>
      </c>
    </row>
    <row r="130" spans="1:32" x14ac:dyDescent="0.25">
      <c r="A130" t="s">
        <v>31</v>
      </c>
      <c r="B130">
        <v>0.7</v>
      </c>
      <c r="C130">
        <v>0.9</v>
      </c>
      <c r="D130">
        <v>3</v>
      </c>
      <c r="E130">
        <v>1.3</v>
      </c>
      <c r="F130">
        <v>0</v>
      </c>
      <c r="G130">
        <v>1</v>
      </c>
      <c r="H130">
        <v>0.9</v>
      </c>
      <c r="I130">
        <v>0.9</v>
      </c>
      <c r="J130">
        <v>1.2</v>
      </c>
      <c r="K130">
        <v>1.3</v>
      </c>
      <c r="L130">
        <v>1.2</v>
      </c>
      <c r="M130">
        <v>1.2</v>
      </c>
      <c r="N130">
        <v>0.9</v>
      </c>
      <c r="O130">
        <v>0.8</v>
      </c>
      <c r="P130">
        <v>1.6</v>
      </c>
      <c r="Q130">
        <v>0.5</v>
      </c>
      <c r="X130">
        <v>0.9</v>
      </c>
      <c r="Y130">
        <v>0</v>
      </c>
      <c r="Z130">
        <v>1.1000000000000001</v>
      </c>
    </row>
    <row r="131" spans="1:32" x14ac:dyDescent="0.25">
      <c r="A131" t="s">
        <v>94</v>
      </c>
      <c r="B131">
        <f t="shared" ref="B131:D131" si="89">B130</f>
        <v>0.7</v>
      </c>
      <c r="D131">
        <f t="shared" si="89"/>
        <v>3</v>
      </c>
      <c r="E131">
        <f t="shared" ref="E131:F131" si="90">E130</f>
        <v>1.3</v>
      </c>
      <c r="F131">
        <f t="shared" si="90"/>
        <v>0</v>
      </c>
      <c r="G131">
        <f t="shared" ref="G131:H131" si="91">G130</f>
        <v>1</v>
      </c>
      <c r="H131">
        <f t="shared" si="91"/>
        <v>0.9</v>
      </c>
      <c r="I131">
        <f>I130</f>
        <v>0.9</v>
      </c>
      <c r="J131">
        <f t="shared" ref="J131:O131" si="92">J130</f>
        <v>1.2</v>
      </c>
      <c r="K131">
        <f t="shared" si="92"/>
        <v>1.3</v>
      </c>
      <c r="L131">
        <f t="shared" si="92"/>
        <v>1.2</v>
      </c>
      <c r="M131">
        <f t="shared" si="92"/>
        <v>1.2</v>
      </c>
      <c r="N131">
        <f t="shared" si="92"/>
        <v>0.9</v>
      </c>
      <c r="O131">
        <f t="shared" si="92"/>
        <v>0.8</v>
      </c>
      <c r="P131">
        <f t="shared" ref="P131:Q131" si="93">P130</f>
        <v>1.6</v>
      </c>
      <c r="Q131">
        <f t="shared" si="93"/>
        <v>0.5</v>
      </c>
      <c r="AF131">
        <f>AF130</f>
        <v>0</v>
      </c>
    </row>
    <row r="132" spans="1:32" x14ac:dyDescent="0.25">
      <c r="A132" t="s">
        <v>120</v>
      </c>
    </row>
    <row r="134" spans="1:32" x14ac:dyDescent="0.25">
      <c r="A134" t="s">
        <v>32</v>
      </c>
      <c r="B134">
        <v>2.12</v>
      </c>
      <c r="C134">
        <v>1.61</v>
      </c>
      <c r="D134">
        <v>1.5</v>
      </c>
      <c r="E134">
        <v>1.61</v>
      </c>
      <c r="F134">
        <v>1.34</v>
      </c>
      <c r="G134">
        <v>1.22</v>
      </c>
      <c r="H134">
        <v>1.48</v>
      </c>
      <c r="I134">
        <v>3.14</v>
      </c>
      <c r="J134">
        <v>1.53</v>
      </c>
      <c r="K134">
        <v>1.35</v>
      </c>
      <c r="L134">
        <v>1.32</v>
      </c>
      <c r="M134">
        <v>2</v>
      </c>
      <c r="N134">
        <v>1.38</v>
      </c>
      <c r="O134">
        <v>1.6</v>
      </c>
      <c r="P134">
        <v>1.35</v>
      </c>
      <c r="Q134">
        <v>1.94</v>
      </c>
      <c r="X134">
        <v>4.3</v>
      </c>
    </row>
    <row r="135" spans="1:32" x14ac:dyDescent="0.25">
      <c r="A135" t="s">
        <v>93</v>
      </c>
      <c r="B135">
        <f t="shared" ref="B135:D135" si="94">B134*1000</f>
        <v>2120</v>
      </c>
      <c r="D135">
        <f t="shared" si="94"/>
        <v>1500</v>
      </c>
      <c r="E135">
        <f t="shared" ref="E135:F135" si="95">E134*1000</f>
        <v>1610</v>
      </c>
      <c r="F135">
        <f t="shared" si="95"/>
        <v>1340</v>
      </c>
      <c r="G135">
        <f t="shared" ref="G135:H135" si="96">G134*1000</f>
        <v>1220</v>
      </c>
      <c r="H135">
        <f t="shared" si="96"/>
        <v>1480</v>
      </c>
      <c r="I135">
        <f>I134*1000</f>
        <v>3140</v>
      </c>
      <c r="J135">
        <f t="shared" ref="J135:O135" si="97">J134*1000</f>
        <v>1530</v>
      </c>
      <c r="K135">
        <f t="shared" si="97"/>
        <v>1350</v>
      </c>
      <c r="L135">
        <f t="shared" si="97"/>
        <v>1320</v>
      </c>
      <c r="M135">
        <f t="shared" si="97"/>
        <v>2000</v>
      </c>
      <c r="N135">
        <f t="shared" si="97"/>
        <v>1380</v>
      </c>
      <c r="O135">
        <f t="shared" si="97"/>
        <v>1600</v>
      </c>
      <c r="P135">
        <f t="shared" ref="P135:Q135" si="98">P134*1000</f>
        <v>1350</v>
      </c>
      <c r="Q135">
        <f t="shared" si="98"/>
        <v>1940</v>
      </c>
      <c r="AF135">
        <f>AF134*1000</f>
        <v>0</v>
      </c>
    </row>
    <row r="137" spans="1:32" x14ac:dyDescent="0.25">
      <c r="A137" t="s">
        <v>33</v>
      </c>
      <c r="B137">
        <v>1.19</v>
      </c>
      <c r="C137">
        <v>1.05</v>
      </c>
      <c r="D137">
        <v>0.95</v>
      </c>
      <c r="E137">
        <v>1.45</v>
      </c>
      <c r="F137">
        <v>1.02</v>
      </c>
      <c r="G137">
        <v>1.0900000000000001</v>
      </c>
      <c r="H137">
        <v>1.44</v>
      </c>
      <c r="I137">
        <v>2.21</v>
      </c>
      <c r="J137">
        <v>1.76</v>
      </c>
      <c r="K137">
        <v>1.24</v>
      </c>
      <c r="L137">
        <v>1.53</v>
      </c>
      <c r="M137">
        <v>1.49</v>
      </c>
      <c r="N137">
        <v>1.28</v>
      </c>
      <c r="O137">
        <v>1.31</v>
      </c>
      <c r="P137">
        <v>1.22</v>
      </c>
      <c r="Q137">
        <v>1.41</v>
      </c>
      <c r="X137">
        <v>2.4</v>
      </c>
      <c r="Y137">
        <v>1.3</v>
      </c>
      <c r="Z137">
        <f>Z108*Z120/100</f>
        <v>1.8803400000000001</v>
      </c>
      <c r="AA137">
        <f>AA108*AA120/100</f>
        <v>1.786</v>
      </c>
    </row>
    <row r="138" spans="1:32" x14ac:dyDescent="0.25">
      <c r="A138" t="s">
        <v>92</v>
      </c>
      <c r="B138">
        <f t="shared" ref="B138:D138" si="99">B137*1000</f>
        <v>1190</v>
      </c>
      <c r="D138">
        <f t="shared" si="99"/>
        <v>950</v>
      </c>
      <c r="E138">
        <f t="shared" ref="E138:F138" si="100">E137*1000</f>
        <v>1450</v>
      </c>
      <c r="F138">
        <f t="shared" si="100"/>
        <v>1020</v>
      </c>
      <c r="G138">
        <f t="shared" ref="G138:H138" si="101">G137*1000</f>
        <v>1090</v>
      </c>
      <c r="H138">
        <f t="shared" si="101"/>
        <v>1440</v>
      </c>
      <c r="I138">
        <f>I137*1000</f>
        <v>2210</v>
      </c>
      <c r="J138">
        <f t="shared" ref="J138:O138" si="102">J137*1000</f>
        <v>1760</v>
      </c>
      <c r="K138">
        <f t="shared" si="102"/>
        <v>1240</v>
      </c>
      <c r="L138">
        <f t="shared" si="102"/>
        <v>1530</v>
      </c>
      <c r="M138">
        <f t="shared" si="102"/>
        <v>1490</v>
      </c>
      <c r="N138">
        <f t="shared" si="102"/>
        <v>1280</v>
      </c>
      <c r="O138">
        <f t="shared" si="102"/>
        <v>1310</v>
      </c>
      <c r="P138">
        <f t="shared" ref="P138:Q138" si="103">P137*1000</f>
        <v>1220</v>
      </c>
      <c r="Q138">
        <f t="shared" si="103"/>
        <v>1410</v>
      </c>
      <c r="AF138">
        <f>AF137*1000</f>
        <v>0</v>
      </c>
    </row>
    <row r="140" spans="1:32" x14ac:dyDescent="0.25">
      <c r="A140" t="s">
        <v>34</v>
      </c>
      <c r="B140">
        <v>0.28000000000000003</v>
      </c>
      <c r="C140">
        <v>0.36</v>
      </c>
      <c r="D140">
        <v>0.26</v>
      </c>
      <c r="E140">
        <v>0.4</v>
      </c>
      <c r="F140">
        <v>0.24</v>
      </c>
      <c r="G140">
        <v>0.16</v>
      </c>
      <c r="H140">
        <v>0.28999999999999998</v>
      </c>
      <c r="I140">
        <v>0.47</v>
      </c>
      <c r="J140">
        <v>0.28999999999999998</v>
      </c>
      <c r="K140">
        <v>0.31</v>
      </c>
      <c r="L140">
        <v>0.35</v>
      </c>
      <c r="M140">
        <v>0.38</v>
      </c>
      <c r="N140">
        <v>0.39</v>
      </c>
      <c r="O140">
        <v>0.43</v>
      </c>
      <c r="P140">
        <v>0.43</v>
      </c>
      <c r="Q140">
        <v>0.45</v>
      </c>
      <c r="X140">
        <v>0.7</v>
      </c>
      <c r="Y140">
        <v>0.3</v>
      </c>
    </row>
    <row r="141" spans="1:32" x14ac:dyDescent="0.25">
      <c r="A141" t="s">
        <v>91</v>
      </c>
      <c r="B141">
        <f t="shared" ref="B141:D141" si="104">B140*1000</f>
        <v>280</v>
      </c>
      <c r="D141">
        <f t="shared" si="104"/>
        <v>260</v>
      </c>
      <c r="E141">
        <f t="shared" ref="E141:F141" si="105">E140*1000</f>
        <v>400</v>
      </c>
      <c r="F141">
        <f t="shared" si="105"/>
        <v>240</v>
      </c>
      <c r="G141">
        <f t="shared" ref="G141:H141" si="106">G140*1000</f>
        <v>160</v>
      </c>
      <c r="H141">
        <f t="shared" si="106"/>
        <v>290</v>
      </c>
      <c r="I141">
        <f>I140*1000</f>
        <v>470</v>
      </c>
      <c r="J141">
        <f t="shared" ref="J141:O141" si="107">J140*1000</f>
        <v>290</v>
      </c>
      <c r="K141">
        <f t="shared" si="107"/>
        <v>310</v>
      </c>
      <c r="L141">
        <f t="shared" si="107"/>
        <v>350</v>
      </c>
      <c r="M141">
        <f t="shared" si="107"/>
        <v>380</v>
      </c>
      <c r="N141">
        <f t="shared" si="107"/>
        <v>390</v>
      </c>
      <c r="O141">
        <f t="shared" si="107"/>
        <v>430</v>
      </c>
      <c r="P141">
        <f t="shared" ref="P141:Q141" si="108">P140*1000</f>
        <v>430</v>
      </c>
      <c r="Q141">
        <f t="shared" si="108"/>
        <v>450</v>
      </c>
      <c r="AF141">
        <f>AF140*1000</f>
        <v>0</v>
      </c>
    </row>
    <row r="143" spans="1:32" x14ac:dyDescent="0.25">
      <c r="A143" t="s">
        <v>35</v>
      </c>
      <c r="B143">
        <v>0.05</v>
      </c>
      <c r="C143">
        <v>0.06</v>
      </c>
      <c r="D143">
        <v>0.09</v>
      </c>
      <c r="E143">
        <v>0.18</v>
      </c>
      <c r="F143">
        <v>0.03</v>
      </c>
      <c r="G143">
        <v>0.1</v>
      </c>
      <c r="H143">
        <v>0.08</v>
      </c>
      <c r="I143">
        <v>0.12</v>
      </c>
      <c r="J143">
        <v>0.09</v>
      </c>
      <c r="K143">
        <v>0.13</v>
      </c>
      <c r="L143">
        <v>0.09</v>
      </c>
      <c r="M143">
        <v>0.17</v>
      </c>
      <c r="N143">
        <v>0.14000000000000001</v>
      </c>
      <c r="O143">
        <v>0.2</v>
      </c>
      <c r="P143">
        <v>0.11</v>
      </c>
      <c r="Q143">
        <v>0.18</v>
      </c>
      <c r="X143">
        <v>0.2</v>
      </c>
    </row>
    <row r="144" spans="1:32" x14ac:dyDescent="0.25">
      <c r="A144" t="s">
        <v>90</v>
      </c>
      <c r="B144">
        <f t="shared" ref="B144:D144" si="109">B143*1000</f>
        <v>50</v>
      </c>
      <c r="D144">
        <f t="shared" si="109"/>
        <v>90</v>
      </c>
      <c r="E144">
        <f t="shared" ref="E144:F144" si="110">E143*1000</f>
        <v>180</v>
      </c>
      <c r="F144">
        <f t="shared" si="110"/>
        <v>30</v>
      </c>
      <c r="G144">
        <f t="shared" ref="G144:H144" si="111">G143*1000</f>
        <v>100</v>
      </c>
      <c r="H144">
        <f t="shared" si="111"/>
        <v>80</v>
      </c>
      <c r="I144">
        <f>I143*1000</f>
        <v>120</v>
      </c>
      <c r="J144">
        <f t="shared" ref="J144:O144" si="112">J143*1000</f>
        <v>90</v>
      </c>
      <c r="K144">
        <f t="shared" si="112"/>
        <v>130</v>
      </c>
      <c r="L144">
        <f t="shared" si="112"/>
        <v>90</v>
      </c>
      <c r="M144">
        <f t="shared" si="112"/>
        <v>170</v>
      </c>
      <c r="N144">
        <f t="shared" si="112"/>
        <v>140</v>
      </c>
      <c r="O144">
        <f t="shared" si="112"/>
        <v>200</v>
      </c>
      <c r="P144">
        <f t="shared" ref="P144:Q144" si="113">P143*1000</f>
        <v>110</v>
      </c>
      <c r="Q144">
        <f t="shared" si="113"/>
        <v>180</v>
      </c>
      <c r="AF144">
        <f>AF143*1000</f>
        <v>0</v>
      </c>
    </row>
    <row r="146" spans="1:32" x14ac:dyDescent="0.25">
      <c r="A146" t="s">
        <v>36</v>
      </c>
      <c r="B146">
        <v>0.03</v>
      </c>
      <c r="C146">
        <v>0.03</v>
      </c>
      <c r="D146">
        <v>0.09</v>
      </c>
      <c r="E146">
        <v>0.05</v>
      </c>
      <c r="F146">
        <v>0</v>
      </c>
      <c r="G146">
        <v>0.03</v>
      </c>
      <c r="H146">
        <v>0.03</v>
      </c>
      <c r="I146">
        <v>0.05</v>
      </c>
      <c r="J146">
        <v>0.04</v>
      </c>
      <c r="K146">
        <v>0.04</v>
      </c>
      <c r="L146">
        <v>0.04</v>
      </c>
      <c r="M146">
        <v>0.05</v>
      </c>
      <c r="N146">
        <v>0.03</v>
      </c>
      <c r="O146">
        <v>0.03</v>
      </c>
      <c r="P146">
        <v>0.05</v>
      </c>
      <c r="Q146">
        <v>0.02</v>
      </c>
      <c r="X146">
        <v>0.1</v>
      </c>
    </row>
    <row r="147" spans="1:32" x14ac:dyDescent="0.25">
      <c r="A147" t="s">
        <v>89</v>
      </c>
      <c r="B147">
        <f t="shared" ref="B147:D147" si="114">B146*1000</f>
        <v>30</v>
      </c>
      <c r="D147">
        <f t="shared" si="114"/>
        <v>90</v>
      </c>
      <c r="E147">
        <f t="shared" ref="E147:F147" si="115">E146*1000</f>
        <v>50</v>
      </c>
      <c r="F147">
        <f t="shared" si="115"/>
        <v>0</v>
      </c>
      <c r="G147">
        <f t="shared" ref="G147:H147" si="116">G146*1000</f>
        <v>30</v>
      </c>
      <c r="H147">
        <f t="shared" si="116"/>
        <v>30</v>
      </c>
      <c r="I147">
        <f>I146*1000</f>
        <v>50</v>
      </c>
      <c r="J147">
        <f t="shared" ref="J147:O147" si="117">J146*1000</f>
        <v>40</v>
      </c>
      <c r="K147">
        <f t="shared" si="117"/>
        <v>40</v>
      </c>
      <c r="L147">
        <f t="shared" si="117"/>
        <v>40</v>
      </c>
      <c r="M147">
        <f t="shared" si="117"/>
        <v>50</v>
      </c>
      <c r="N147">
        <f t="shared" si="117"/>
        <v>30</v>
      </c>
      <c r="O147">
        <f t="shared" si="117"/>
        <v>30</v>
      </c>
      <c r="P147">
        <f t="shared" ref="P147:Q147" si="118">P146*1000</f>
        <v>50</v>
      </c>
      <c r="Q147">
        <f t="shared" si="118"/>
        <v>20</v>
      </c>
      <c r="AF147">
        <f>AF146*1000</f>
        <v>0</v>
      </c>
    </row>
    <row r="149" spans="1:32" x14ac:dyDescent="0.25">
      <c r="A149" t="s">
        <v>221</v>
      </c>
      <c r="B149">
        <v>6</v>
      </c>
      <c r="C149">
        <v>4</v>
      </c>
      <c r="D149">
        <v>8</v>
      </c>
      <c r="E149">
        <v>4</v>
      </c>
      <c r="F149">
        <v>2</v>
      </c>
      <c r="G149">
        <v>4</v>
      </c>
      <c r="H149">
        <v>5</v>
      </c>
      <c r="I149">
        <v>46</v>
      </c>
      <c r="J149">
        <v>1</v>
      </c>
      <c r="L149">
        <v>4</v>
      </c>
      <c r="Y149">
        <v>6</v>
      </c>
      <c r="Z149">
        <v>4</v>
      </c>
      <c r="AA149">
        <v>1</v>
      </c>
    </row>
    <row r="151" spans="1:32" x14ac:dyDescent="0.25">
      <c r="A151" t="s">
        <v>326</v>
      </c>
      <c r="G151">
        <v>0</v>
      </c>
      <c r="H151">
        <v>2.7</v>
      </c>
    </row>
    <row r="153" spans="1:32" x14ac:dyDescent="0.25">
      <c r="A153" t="s">
        <v>37</v>
      </c>
      <c r="B153">
        <v>7.34</v>
      </c>
      <c r="D153">
        <v>6.95</v>
      </c>
      <c r="F153">
        <v>8.4</v>
      </c>
      <c r="G153">
        <v>11.08</v>
      </c>
      <c r="H153">
        <v>12.37</v>
      </c>
      <c r="J153">
        <v>7.52</v>
      </c>
      <c r="K153">
        <v>9.57</v>
      </c>
      <c r="L153">
        <v>10.199999999999999</v>
      </c>
      <c r="M153">
        <v>8.81</v>
      </c>
      <c r="N153">
        <v>9.5399999999999991</v>
      </c>
      <c r="O153">
        <v>7.97</v>
      </c>
    </row>
    <row r="154" spans="1:32" x14ac:dyDescent="0.25">
      <c r="A154" t="s">
        <v>127</v>
      </c>
      <c r="B154">
        <f t="shared" ref="B154:D154" si="119">B153</f>
        <v>7.34</v>
      </c>
      <c r="D154">
        <f t="shared" si="119"/>
        <v>6.95</v>
      </c>
      <c r="E154">
        <f t="shared" ref="E154:F154" si="120">E153</f>
        <v>0</v>
      </c>
      <c r="F154">
        <f t="shared" si="120"/>
        <v>8.4</v>
      </c>
      <c r="G154">
        <f t="shared" ref="G154:H154" si="121">G153</f>
        <v>11.08</v>
      </c>
      <c r="H154">
        <f t="shared" si="121"/>
        <v>12.37</v>
      </c>
      <c r="J154">
        <f t="shared" ref="J154:O154" si="122">J153</f>
        <v>7.52</v>
      </c>
      <c r="K154">
        <f t="shared" si="122"/>
        <v>9.57</v>
      </c>
      <c r="L154">
        <f t="shared" si="122"/>
        <v>10.199999999999999</v>
      </c>
      <c r="M154">
        <f t="shared" si="122"/>
        <v>8.81</v>
      </c>
      <c r="N154">
        <f t="shared" si="122"/>
        <v>9.5399999999999991</v>
      </c>
      <c r="O154">
        <f t="shared" si="122"/>
        <v>7.97</v>
      </c>
      <c r="AF154">
        <f>AF153</f>
        <v>0</v>
      </c>
    </row>
    <row r="156" spans="1:32" x14ac:dyDescent="0.25">
      <c r="A156" t="s">
        <v>38</v>
      </c>
      <c r="J156">
        <v>51.9</v>
      </c>
      <c r="K156">
        <v>50.1</v>
      </c>
      <c r="L156">
        <v>46.1</v>
      </c>
      <c r="M156">
        <v>49</v>
      </c>
      <c r="N156">
        <v>54.1</v>
      </c>
      <c r="O156">
        <v>52.3</v>
      </c>
      <c r="P156">
        <v>52.2</v>
      </c>
      <c r="Q156">
        <v>54.5</v>
      </c>
    </row>
    <row r="157" spans="1:32" x14ac:dyDescent="0.25">
      <c r="A157" t="s">
        <v>107</v>
      </c>
      <c r="B157" s="3">
        <f t="shared" ref="B157:D157" si="123">B156/0.179</f>
        <v>0</v>
      </c>
      <c r="D157" s="3">
        <f t="shared" si="123"/>
        <v>0</v>
      </c>
      <c r="E157" s="3">
        <f t="shared" ref="E157:F157" si="124">E156/0.179</f>
        <v>0</v>
      </c>
      <c r="F157" s="3">
        <f t="shared" si="124"/>
        <v>0</v>
      </c>
      <c r="G157" s="3">
        <f t="shared" ref="G157:H157" si="125">G156/0.179</f>
        <v>0</v>
      </c>
      <c r="H157" s="3">
        <f t="shared" si="125"/>
        <v>0</v>
      </c>
      <c r="I157" s="3"/>
      <c r="J157" s="3">
        <f t="shared" ref="J157:O157" si="126">J156/0.179</f>
        <v>289.9441340782123</v>
      </c>
      <c r="K157" s="3">
        <f t="shared" si="126"/>
        <v>279.8882681564246</v>
      </c>
      <c r="L157" s="3">
        <f t="shared" si="126"/>
        <v>257.54189944134077</v>
      </c>
      <c r="M157" s="3">
        <f t="shared" si="126"/>
        <v>273.74301675977654</v>
      </c>
      <c r="N157" s="3">
        <f t="shared" si="126"/>
        <v>302.23463687150843</v>
      </c>
      <c r="O157" s="3">
        <f t="shared" si="126"/>
        <v>292.17877094972067</v>
      </c>
      <c r="P157" s="3">
        <f t="shared" ref="P157:Q157" si="127">P156/0.179</f>
        <v>291.62011173184362</v>
      </c>
      <c r="Q157" s="3">
        <f t="shared" si="127"/>
        <v>304.4692737430168</v>
      </c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>
        <f>AF156/0.179</f>
        <v>0</v>
      </c>
    </row>
    <row r="159" spans="1:32" x14ac:dyDescent="0.25">
      <c r="A159" t="s">
        <v>39</v>
      </c>
      <c r="B159" t="s">
        <v>387</v>
      </c>
      <c r="D159" t="s">
        <v>387</v>
      </c>
      <c r="F159" t="s">
        <v>387</v>
      </c>
      <c r="G159" t="s">
        <v>387</v>
      </c>
      <c r="H159">
        <v>0.2</v>
      </c>
      <c r="I159">
        <v>5.8</v>
      </c>
      <c r="J159">
        <v>0.2</v>
      </c>
      <c r="K159">
        <v>0.1</v>
      </c>
      <c r="L159">
        <v>0.1</v>
      </c>
      <c r="M159">
        <v>0.2</v>
      </c>
      <c r="N159">
        <v>0.3</v>
      </c>
      <c r="O159">
        <v>0.4</v>
      </c>
      <c r="P159">
        <v>0.4</v>
      </c>
      <c r="Q159">
        <v>0.2</v>
      </c>
    </row>
    <row r="160" spans="1:32" x14ac:dyDescent="0.25">
      <c r="A160" t="s">
        <v>88</v>
      </c>
      <c r="B160" t="str">
        <f t="shared" ref="B160:D160" si="128">B159</f>
        <v>&lt;0.4</v>
      </c>
      <c r="D160" t="str">
        <f t="shared" si="128"/>
        <v>&lt;0.4</v>
      </c>
      <c r="E160">
        <f t="shared" ref="E160:F160" si="129">E159</f>
        <v>0</v>
      </c>
      <c r="F160" t="str">
        <f t="shared" si="129"/>
        <v>&lt;0.4</v>
      </c>
      <c r="G160" t="str">
        <f t="shared" ref="G160:H160" si="130">G159</f>
        <v>&lt;0.4</v>
      </c>
      <c r="H160">
        <f t="shared" si="130"/>
        <v>0.2</v>
      </c>
      <c r="I160">
        <f>I159</f>
        <v>5.8</v>
      </c>
      <c r="J160">
        <f t="shared" ref="J160:O160" si="131">J159</f>
        <v>0.2</v>
      </c>
      <c r="K160">
        <f t="shared" si="131"/>
        <v>0.1</v>
      </c>
      <c r="L160">
        <f t="shared" si="131"/>
        <v>0.1</v>
      </c>
      <c r="M160">
        <f t="shared" si="131"/>
        <v>0.2</v>
      </c>
      <c r="N160">
        <f t="shared" si="131"/>
        <v>0.3</v>
      </c>
      <c r="O160">
        <f t="shared" si="131"/>
        <v>0.4</v>
      </c>
      <c r="P160">
        <f t="shared" ref="P160:Q160" si="132">P159</f>
        <v>0.4</v>
      </c>
      <c r="Q160">
        <f t="shared" si="132"/>
        <v>0.2</v>
      </c>
      <c r="AF160">
        <f>AF159</f>
        <v>0</v>
      </c>
    </row>
    <row r="161" spans="1:32" x14ac:dyDescent="0.25">
      <c r="A161" t="s">
        <v>122</v>
      </c>
      <c r="B161" t="str">
        <f t="shared" ref="B161:D161" si="133">B159</f>
        <v>&lt;0.4</v>
      </c>
      <c r="D161" t="str">
        <f t="shared" si="133"/>
        <v>&lt;0.4</v>
      </c>
      <c r="E161">
        <f t="shared" ref="E161:F161" si="134">E159</f>
        <v>0</v>
      </c>
      <c r="F161" t="str">
        <f t="shared" si="134"/>
        <v>&lt;0.4</v>
      </c>
      <c r="G161" t="str">
        <f t="shared" ref="G161:H161" si="135">G159</f>
        <v>&lt;0.4</v>
      </c>
      <c r="H161">
        <f t="shared" si="135"/>
        <v>0.2</v>
      </c>
      <c r="I161">
        <f>I159</f>
        <v>5.8</v>
      </c>
      <c r="J161">
        <f t="shared" ref="J161:O161" si="136">J159</f>
        <v>0.2</v>
      </c>
      <c r="K161">
        <f t="shared" si="136"/>
        <v>0.1</v>
      </c>
      <c r="L161">
        <f t="shared" si="136"/>
        <v>0.1</v>
      </c>
      <c r="M161">
        <f t="shared" si="136"/>
        <v>0.2</v>
      </c>
      <c r="N161">
        <f t="shared" si="136"/>
        <v>0.3</v>
      </c>
      <c r="O161">
        <f t="shared" si="136"/>
        <v>0.4</v>
      </c>
      <c r="P161">
        <f t="shared" ref="P161:Q161" si="137">P159</f>
        <v>0.4</v>
      </c>
      <c r="Q161">
        <f t="shared" si="137"/>
        <v>0.2</v>
      </c>
      <c r="AF161">
        <f>AF159</f>
        <v>0</v>
      </c>
    </row>
    <row r="163" spans="1:32" x14ac:dyDescent="0.25">
      <c r="A163" t="s">
        <v>40</v>
      </c>
      <c r="B163">
        <v>4.5999999999999996</v>
      </c>
      <c r="D163">
        <v>4.8</v>
      </c>
      <c r="J163">
        <v>4.5</v>
      </c>
      <c r="K163">
        <v>4.7</v>
      </c>
      <c r="L163">
        <v>4.7</v>
      </c>
      <c r="M163">
        <v>4.5999999999999996</v>
      </c>
      <c r="N163">
        <v>4.5999999999999996</v>
      </c>
      <c r="O163">
        <v>4.7</v>
      </c>
      <c r="P163">
        <v>4.8</v>
      </c>
      <c r="Q163">
        <v>4.7</v>
      </c>
    </row>
    <row r="164" spans="1:32" x14ac:dyDescent="0.25">
      <c r="A164" t="s">
        <v>76</v>
      </c>
      <c r="B164">
        <f t="shared" ref="B164:D164" si="138">B163</f>
        <v>4.5999999999999996</v>
      </c>
      <c r="D164">
        <f t="shared" si="138"/>
        <v>4.8</v>
      </c>
      <c r="E164">
        <f t="shared" ref="E164:F164" si="139">E163</f>
        <v>0</v>
      </c>
      <c r="F164">
        <f t="shared" si="139"/>
        <v>0</v>
      </c>
      <c r="G164">
        <f t="shared" ref="G164:H164" si="140">G163</f>
        <v>0</v>
      </c>
      <c r="H164">
        <f t="shared" si="140"/>
        <v>0</v>
      </c>
      <c r="J164">
        <f t="shared" ref="J164:O164" si="141">J163</f>
        <v>4.5</v>
      </c>
      <c r="K164">
        <f t="shared" si="141"/>
        <v>4.7</v>
      </c>
      <c r="L164">
        <f t="shared" si="141"/>
        <v>4.7</v>
      </c>
      <c r="M164">
        <f t="shared" si="141"/>
        <v>4.5999999999999996</v>
      </c>
      <c r="N164">
        <f t="shared" si="141"/>
        <v>4.5999999999999996</v>
      </c>
      <c r="O164">
        <f t="shared" si="141"/>
        <v>4.7</v>
      </c>
      <c r="P164">
        <f t="shared" ref="P164:Q164" si="142">P163</f>
        <v>4.8</v>
      </c>
      <c r="Q164">
        <f t="shared" si="142"/>
        <v>4.7</v>
      </c>
      <c r="AF164">
        <f>AF163</f>
        <v>0</v>
      </c>
    </row>
    <row r="165" spans="1:32" x14ac:dyDescent="0.25">
      <c r="A165" t="s">
        <v>120</v>
      </c>
    </row>
    <row r="166" spans="1:32" x14ac:dyDescent="0.25">
      <c r="A166" t="s">
        <v>125</v>
      </c>
      <c r="B166">
        <f t="shared" ref="B166:D166" si="143">B163</f>
        <v>4.5999999999999996</v>
      </c>
      <c r="D166">
        <f t="shared" si="143"/>
        <v>4.8</v>
      </c>
      <c r="E166">
        <f t="shared" ref="E166:F166" si="144">E163</f>
        <v>0</v>
      </c>
      <c r="F166">
        <f t="shared" si="144"/>
        <v>0</v>
      </c>
      <c r="G166">
        <f t="shared" ref="G166:H166" si="145">G163</f>
        <v>0</v>
      </c>
      <c r="H166">
        <f t="shared" si="145"/>
        <v>0</v>
      </c>
      <c r="J166">
        <f t="shared" ref="J166:O166" si="146">J163</f>
        <v>4.5</v>
      </c>
      <c r="K166">
        <f t="shared" si="146"/>
        <v>4.7</v>
      </c>
      <c r="L166">
        <f t="shared" si="146"/>
        <v>4.7</v>
      </c>
      <c r="M166">
        <f t="shared" si="146"/>
        <v>4.5999999999999996</v>
      </c>
      <c r="N166">
        <f t="shared" si="146"/>
        <v>4.5999999999999996</v>
      </c>
      <c r="O166">
        <f t="shared" si="146"/>
        <v>4.7</v>
      </c>
      <c r="P166">
        <f t="shared" ref="P166:Q166" si="147">P163</f>
        <v>4.8</v>
      </c>
      <c r="Q166">
        <f t="shared" si="147"/>
        <v>4.7</v>
      </c>
      <c r="AF166">
        <f>AF163</f>
        <v>0</v>
      </c>
    </row>
    <row r="168" spans="1:32" x14ac:dyDescent="0.25">
      <c r="A168" t="s">
        <v>41</v>
      </c>
      <c r="B168">
        <v>0.5</v>
      </c>
      <c r="D168">
        <v>0.5</v>
      </c>
      <c r="F168">
        <v>0.8</v>
      </c>
      <c r="G168">
        <v>0</v>
      </c>
      <c r="H168">
        <v>1.1000000000000001</v>
      </c>
      <c r="J168">
        <v>1.4</v>
      </c>
      <c r="K168">
        <v>1.1000000000000001</v>
      </c>
      <c r="L168">
        <v>1.7</v>
      </c>
      <c r="M168">
        <v>2</v>
      </c>
      <c r="N168">
        <v>1.8</v>
      </c>
      <c r="O168">
        <v>2.4</v>
      </c>
    </row>
    <row r="169" spans="1:32" x14ac:dyDescent="0.25">
      <c r="A169" t="s">
        <v>126</v>
      </c>
      <c r="B169">
        <f t="shared" ref="B169:D169" si="148">B168</f>
        <v>0.5</v>
      </c>
      <c r="D169">
        <f t="shared" si="148"/>
        <v>0.5</v>
      </c>
      <c r="E169">
        <f t="shared" ref="E169:F169" si="149">E168</f>
        <v>0</v>
      </c>
      <c r="F169">
        <f t="shared" si="149"/>
        <v>0.8</v>
      </c>
      <c r="G169">
        <f t="shared" ref="G169:H169" si="150">G168</f>
        <v>0</v>
      </c>
      <c r="H169">
        <f t="shared" si="150"/>
        <v>1.1000000000000001</v>
      </c>
      <c r="J169">
        <f t="shared" ref="J169:O169" si="151">J168</f>
        <v>1.4</v>
      </c>
      <c r="K169">
        <f t="shared" si="151"/>
        <v>1.1000000000000001</v>
      </c>
      <c r="L169">
        <f t="shared" si="151"/>
        <v>1.7</v>
      </c>
      <c r="M169">
        <f t="shared" si="151"/>
        <v>2</v>
      </c>
      <c r="N169">
        <f t="shared" si="151"/>
        <v>1.8</v>
      </c>
      <c r="O169">
        <f t="shared" si="151"/>
        <v>2.4</v>
      </c>
      <c r="AF169">
        <f>AF168</f>
        <v>0</v>
      </c>
    </row>
    <row r="171" spans="1:32" x14ac:dyDescent="0.25">
      <c r="A171" t="s">
        <v>42</v>
      </c>
      <c r="B171">
        <v>2.2000000000000002</v>
      </c>
      <c r="D171">
        <v>2.2999999999999998</v>
      </c>
      <c r="F171">
        <v>3.4</v>
      </c>
      <c r="G171">
        <v>3.5</v>
      </c>
      <c r="H171">
        <v>4.9000000000000004</v>
      </c>
      <c r="J171">
        <v>5.4</v>
      </c>
      <c r="K171">
        <v>5</v>
      </c>
      <c r="L171">
        <v>7</v>
      </c>
      <c r="M171">
        <v>8.1999999999999993</v>
      </c>
      <c r="N171">
        <v>7.3</v>
      </c>
      <c r="O171">
        <v>10</v>
      </c>
    </row>
    <row r="172" spans="1:32" x14ac:dyDescent="0.25">
      <c r="A172" t="s">
        <v>123</v>
      </c>
      <c r="B172">
        <f t="shared" ref="B172:D172" si="152">B171</f>
        <v>2.2000000000000002</v>
      </c>
      <c r="D172">
        <f t="shared" si="152"/>
        <v>2.2999999999999998</v>
      </c>
      <c r="E172">
        <f t="shared" ref="E172:F172" si="153">E171</f>
        <v>0</v>
      </c>
      <c r="F172">
        <f t="shared" si="153"/>
        <v>3.4</v>
      </c>
      <c r="G172">
        <f t="shared" ref="G172:H172" si="154">G171</f>
        <v>3.5</v>
      </c>
      <c r="H172">
        <f t="shared" si="154"/>
        <v>4.9000000000000004</v>
      </c>
      <c r="J172">
        <f t="shared" ref="J172:O172" si="155">J171</f>
        <v>5.4</v>
      </c>
      <c r="K172">
        <f t="shared" si="155"/>
        <v>5</v>
      </c>
      <c r="L172">
        <f t="shared" si="155"/>
        <v>7</v>
      </c>
      <c r="M172">
        <f t="shared" si="155"/>
        <v>8.1999999999999993</v>
      </c>
      <c r="N172">
        <f t="shared" si="155"/>
        <v>7.3</v>
      </c>
      <c r="O172">
        <f t="shared" si="155"/>
        <v>10</v>
      </c>
      <c r="AF172">
        <f>AF171</f>
        <v>0</v>
      </c>
    </row>
    <row r="174" spans="1:32" x14ac:dyDescent="0.25">
      <c r="A174" t="s">
        <v>43</v>
      </c>
      <c r="B174">
        <v>30</v>
      </c>
      <c r="D174">
        <v>9</v>
      </c>
      <c r="F174">
        <v>10</v>
      </c>
      <c r="G174">
        <v>8</v>
      </c>
      <c r="H174">
        <v>9</v>
      </c>
      <c r="I174">
        <v>6</v>
      </c>
      <c r="J174">
        <v>8</v>
      </c>
      <c r="K174">
        <v>14</v>
      </c>
      <c r="L174">
        <v>16</v>
      </c>
      <c r="M174">
        <v>20</v>
      </c>
      <c r="N174">
        <v>27</v>
      </c>
      <c r="O174">
        <v>37</v>
      </c>
      <c r="P174">
        <v>26</v>
      </c>
      <c r="Q174">
        <v>12</v>
      </c>
      <c r="AB174">
        <v>21</v>
      </c>
      <c r="AC174">
        <v>18</v>
      </c>
    </row>
    <row r="175" spans="1:32" x14ac:dyDescent="0.25">
      <c r="A175" t="s">
        <v>119</v>
      </c>
      <c r="B175">
        <f t="shared" ref="B175:D175" si="156">B174</f>
        <v>30</v>
      </c>
      <c r="D175">
        <f t="shared" si="156"/>
        <v>9</v>
      </c>
      <c r="E175">
        <f t="shared" ref="E175:F175" si="157">E174</f>
        <v>0</v>
      </c>
      <c r="F175">
        <f t="shared" si="157"/>
        <v>10</v>
      </c>
      <c r="G175">
        <f t="shared" ref="G175:H175" si="158">G174</f>
        <v>8</v>
      </c>
      <c r="H175">
        <f t="shared" si="158"/>
        <v>9</v>
      </c>
      <c r="I175">
        <f>I174</f>
        <v>6</v>
      </c>
      <c r="J175">
        <f t="shared" ref="J175:O175" si="159">J174</f>
        <v>8</v>
      </c>
      <c r="K175">
        <f t="shared" si="159"/>
        <v>14</v>
      </c>
      <c r="L175">
        <f t="shared" si="159"/>
        <v>16</v>
      </c>
      <c r="M175">
        <f t="shared" si="159"/>
        <v>20</v>
      </c>
      <c r="N175">
        <f t="shared" si="159"/>
        <v>27</v>
      </c>
      <c r="O175">
        <f t="shared" si="159"/>
        <v>37</v>
      </c>
      <c r="P175">
        <f t="shared" ref="P175:Q175" si="160">P174</f>
        <v>26</v>
      </c>
      <c r="Q175">
        <f t="shared" si="160"/>
        <v>12</v>
      </c>
      <c r="AB175">
        <f t="shared" ref="AB175:AC175" si="161">AB174</f>
        <v>21</v>
      </c>
      <c r="AC175">
        <f t="shared" si="161"/>
        <v>18</v>
      </c>
      <c r="AF175">
        <f>AF174</f>
        <v>0</v>
      </c>
    </row>
    <row r="176" spans="1:32" x14ac:dyDescent="0.25">
      <c r="A176" t="s">
        <v>156</v>
      </c>
      <c r="B176">
        <f t="shared" ref="B176:D176" si="162">B174</f>
        <v>30</v>
      </c>
      <c r="D176">
        <f t="shared" si="162"/>
        <v>9</v>
      </c>
      <c r="E176">
        <f t="shared" ref="E176:F176" si="163">E174</f>
        <v>0</v>
      </c>
      <c r="F176">
        <f t="shared" si="163"/>
        <v>10</v>
      </c>
      <c r="G176">
        <f t="shared" ref="G176:H176" si="164">G174</f>
        <v>8</v>
      </c>
      <c r="H176">
        <f t="shared" si="164"/>
        <v>9</v>
      </c>
      <c r="I176">
        <f>I174</f>
        <v>6</v>
      </c>
      <c r="J176">
        <f t="shared" ref="J176:O176" si="165">J174</f>
        <v>8</v>
      </c>
      <c r="K176">
        <f t="shared" si="165"/>
        <v>14</v>
      </c>
      <c r="L176">
        <f t="shared" si="165"/>
        <v>16</v>
      </c>
      <c r="M176">
        <f t="shared" si="165"/>
        <v>20</v>
      </c>
      <c r="N176">
        <f t="shared" si="165"/>
        <v>27</v>
      </c>
      <c r="O176">
        <f t="shared" si="165"/>
        <v>37</v>
      </c>
      <c r="P176">
        <f t="shared" ref="P176:Q176" si="166">P174</f>
        <v>26</v>
      </c>
      <c r="Q176">
        <f t="shared" si="166"/>
        <v>12</v>
      </c>
      <c r="AB176">
        <f t="shared" ref="AB176:AC176" si="167">AB174</f>
        <v>21</v>
      </c>
      <c r="AC176">
        <f t="shared" si="167"/>
        <v>18</v>
      </c>
      <c r="AF176">
        <f>AF174</f>
        <v>0</v>
      </c>
    </row>
    <row r="178" spans="1:32" x14ac:dyDescent="0.25">
      <c r="A178" t="s">
        <v>44</v>
      </c>
      <c r="B178">
        <v>72</v>
      </c>
      <c r="C178">
        <v>79</v>
      </c>
      <c r="D178">
        <v>78</v>
      </c>
      <c r="F178">
        <v>87</v>
      </c>
      <c r="G178">
        <v>67</v>
      </c>
      <c r="H178">
        <v>44</v>
      </c>
      <c r="I178">
        <v>21</v>
      </c>
      <c r="J178">
        <v>24</v>
      </c>
      <c r="K178">
        <v>28</v>
      </c>
      <c r="L178">
        <v>21</v>
      </c>
      <c r="M178">
        <v>23</v>
      </c>
      <c r="N178">
        <v>27</v>
      </c>
      <c r="O178">
        <v>41</v>
      </c>
      <c r="P178">
        <v>36</v>
      </c>
      <c r="Q178">
        <v>25</v>
      </c>
      <c r="AB178">
        <v>24</v>
      </c>
      <c r="AC178">
        <v>20</v>
      </c>
    </row>
    <row r="179" spans="1:32" x14ac:dyDescent="0.25">
      <c r="A179" t="s">
        <v>118</v>
      </c>
      <c r="B179">
        <f t="shared" ref="B179:D179" si="168">B178</f>
        <v>72</v>
      </c>
      <c r="D179">
        <f t="shared" si="168"/>
        <v>78</v>
      </c>
      <c r="E179">
        <f t="shared" ref="E179:F179" si="169">E178</f>
        <v>0</v>
      </c>
      <c r="F179">
        <f t="shared" si="169"/>
        <v>87</v>
      </c>
      <c r="G179">
        <f t="shared" ref="G179:H179" si="170">G178</f>
        <v>67</v>
      </c>
      <c r="H179">
        <f t="shared" si="170"/>
        <v>44</v>
      </c>
      <c r="I179">
        <f>I178</f>
        <v>21</v>
      </c>
      <c r="J179">
        <f t="shared" ref="J179:O179" si="171">J178</f>
        <v>24</v>
      </c>
      <c r="K179">
        <f t="shared" si="171"/>
        <v>28</v>
      </c>
      <c r="L179">
        <f t="shared" si="171"/>
        <v>21</v>
      </c>
      <c r="M179">
        <f t="shared" si="171"/>
        <v>23</v>
      </c>
      <c r="N179">
        <f t="shared" si="171"/>
        <v>27</v>
      </c>
      <c r="O179">
        <f t="shared" si="171"/>
        <v>41</v>
      </c>
      <c r="P179">
        <f t="shared" ref="P179:Q179" si="172">P178</f>
        <v>36</v>
      </c>
      <c r="Q179">
        <f t="shared" si="172"/>
        <v>25</v>
      </c>
      <c r="AB179">
        <f t="shared" ref="AB179:AC179" si="173">AB178</f>
        <v>24</v>
      </c>
      <c r="AC179">
        <f t="shared" si="173"/>
        <v>20</v>
      </c>
      <c r="AF179">
        <f>AF178</f>
        <v>0</v>
      </c>
    </row>
    <row r="180" spans="1:32" x14ac:dyDescent="0.25">
      <c r="A180" t="s">
        <v>157</v>
      </c>
      <c r="B180">
        <f t="shared" ref="B180:D180" si="174">B178</f>
        <v>72</v>
      </c>
      <c r="D180">
        <f t="shared" si="174"/>
        <v>78</v>
      </c>
      <c r="E180">
        <f t="shared" ref="E180:F180" si="175">E178</f>
        <v>0</v>
      </c>
      <c r="F180">
        <f t="shared" si="175"/>
        <v>87</v>
      </c>
      <c r="G180">
        <f t="shared" ref="G180:H180" si="176">G178</f>
        <v>67</v>
      </c>
      <c r="H180">
        <f t="shared" si="176"/>
        <v>44</v>
      </c>
      <c r="I180">
        <f>I178</f>
        <v>21</v>
      </c>
      <c r="J180">
        <f t="shared" ref="J180:O180" si="177">J178</f>
        <v>24</v>
      </c>
      <c r="K180">
        <f t="shared" si="177"/>
        <v>28</v>
      </c>
      <c r="L180">
        <f t="shared" si="177"/>
        <v>21</v>
      </c>
      <c r="M180">
        <f t="shared" si="177"/>
        <v>23</v>
      </c>
      <c r="N180">
        <f t="shared" si="177"/>
        <v>27</v>
      </c>
      <c r="O180">
        <f t="shared" si="177"/>
        <v>41</v>
      </c>
      <c r="P180">
        <f t="shared" ref="P180:Q180" si="178">P178</f>
        <v>36</v>
      </c>
      <c r="Q180">
        <f t="shared" si="178"/>
        <v>25</v>
      </c>
      <c r="AB180">
        <f t="shared" ref="AB180:AC180" si="179">AB178</f>
        <v>24</v>
      </c>
      <c r="AC180">
        <f t="shared" si="179"/>
        <v>20</v>
      </c>
      <c r="AF180">
        <f>AF178</f>
        <v>0</v>
      </c>
    </row>
    <row r="182" spans="1:32" x14ac:dyDescent="0.25">
      <c r="A182" t="s">
        <v>45</v>
      </c>
      <c r="B182">
        <v>46</v>
      </c>
      <c r="D182">
        <v>47</v>
      </c>
      <c r="F182">
        <v>45</v>
      </c>
      <c r="G182">
        <v>47</v>
      </c>
      <c r="H182">
        <v>48</v>
      </c>
      <c r="J182">
        <v>42</v>
      </c>
      <c r="K182">
        <v>46</v>
      </c>
      <c r="L182">
        <v>47</v>
      </c>
      <c r="M182">
        <v>45</v>
      </c>
      <c r="N182">
        <v>43</v>
      </c>
      <c r="O182">
        <v>47</v>
      </c>
      <c r="P182">
        <v>47</v>
      </c>
      <c r="Q182">
        <v>46</v>
      </c>
    </row>
    <row r="183" spans="1:32" x14ac:dyDescent="0.25">
      <c r="A183" t="s">
        <v>117</v>
      </c>
      <c r="B183">
        <f t="shared" ref="B183:D183" si="180">B182/10</f>
        <v>4.5999999999999996</v>
      </c>
      <c r="D183">
        <f t="shared" si="180"/>
        <v>4.7</v>
      </c>
      <c r="E183">
        <f t="shared" ref="E183:F183" si="181">E182/10</f>
        <v>0</v>
      </c>
      <c r="F183">
        <f t="shared" si="181"/>
        <v>4.5</v>
      </c>
      <c r="G183">
        <f t="shared" ref="G183:H183" si="182">G182/10</f>
        <v>4.7</v>
      </c>
      <c r="H183">
        <f t="shared" si="182"/>
        <v>4.8</v>
      </c>
      <c r="J183">
        <f t="shared" ref="J183:O183" si="183">J182/10</f>
        <v>4.2</v>
      </c>
      <c r="K183">
        <f t="shared" si="183"/>
        <v>4.5999999999999996</v>
      </c>
      <c r="L183">
        <f t="shared" si="183"/>
        <v>4.7</v>
      </c>
      <c r="M183">
        <f t="shared" si="183"/>
        <v>4.5</v>
      </c>
      <c r="N183">
        <f t="shared" si="183"/>
        <v>4.3</v>
      </c>
      <c r="O183">
        <f t="shared" si="183"/>
        <v>4.7</v>
      </c>
      <c r="P183">
        <f t="shared" ref="P183:Q183" si="184">P182/10</f>
        <v>4.7</v>
      </c>
      <c r="Q183">
        <f t="shared" si="184"/>
        <v>4.5999999999999996</v>
      </c>
      <c r="AF183">
        <f>AF182/10</f>
        <v>0</v>
      </c>
    </row>
    <row r="184" spans="1:32" x14ac:dyDescent="0.25">
      <c r="A184" t="s">
        <v>121</v>
      </c>
    </row>
    <row r="185" spans="1:32" x14ac:dyDescent="0.25">
      <c r="A185" t="s">
        <v>136</v>
      </c>
      <c r="B185">
        <f t="shared" ref="B185:D185" si="185">B183</f>
        <v>4.5999999999999996</v>
      </c>
      <c r="D185">
        <f t="shared" si="185"/>
        <v>4.7</v>
      </c>
      <c r="E185">
        <f t="shared" ref="E185:F185" si="186">E183</f>
        <v>0</v>
      </c>
      <c r="F185">
        <f t="shared" si="186"/>
        <v>4.5</v>
      </c>
      <c r="G185">
        <f t="shared" ref="G185:H185" si="187">G183</f>
        <v>4.7</v>
      </c>
      <c r="H185">
        <f t="shared" si="187"/>
        <v>4.8</v>
      </c>
      <c r="J185">
        <f t="shared" ref="J185:O185" si="188">J183</f>
        <v>4.2</v>
      </c>
      <c r="K185">
        <f t="shared" si="188"/>
        <v>4.5999999999999996</v>
      </c>
      <c r="L185">
        <f t="shared" si="188"/>
        <v>4.7</v>
      </c>
      <c r="M185">
        <f t="shared" si="188"/>
        <v>4.5</v>
      </c>
      <c r="N185">
        <f t="shared" si="188"/>
        <v>4.3</v>
      </c>
      <c r="O185">
        <f t="shared" si="188"/>
        <v>4.7</v>
      </c>
      <c r="P185">
        <f t="shared" ref="P185:Q185" si="189">P183</f>
        <v>4.7</v>
      </c>
      <c r="Q185">
        <f t="shared" si="189"/>
        <v>4.5999999999999996</v>
      </c>
      <c r="AF185">
        <f>AF183</f>
        <v>0</v>
      </c>
    </row>
    <row r="186" spans="1:32" x14ac:dyDescent="0.25">
      <c r="A186" t="s">
        <v>232</v>
      </c>
    </row>
    <row r="188" spans="1:32" x14ac:dyDescent="0.25">
      <c r="A188" t="s">
        <v>208</v>
      </c>
      <c r="B188">
        <v>14.8</v>
      </c>
      <c r="D188">
        <v>16.5</v>
      </c>
      <c r="F188">
        <v>14.6</v>
      </c>
      <c r="G188">
        <v>19.600000000000001</v>
      </c>
      <c r="H188">
        <v>17.899999999999999</v>
      </c>
      <c r="I188">
        <v>9</v>
      </c>
      <c r="J188">
        <v>21.8</v>
      </c>
      <c r="K188">
        <v>25.1</v>
      </c>
    </row>
    <row r="189" spans="1:32" x14ac:dyDescent="0.25">
      <c r="A189" t="s">
        <v>216</v>
      </c>
      <c r="B189" s="4">
        <f t="shared" ref="B189" si="190">B188/17.1</f>
        <v>0.86549707602339176</v>
      </c>
      <c r="D189" s="4">
        <f t="shared" ref="D189:E189" si="191">D188/17.1</f>
        <v>0.96491228070175428</v>
      </c>
      <c r="E189" s="4">
        <f t="shared" si="191"/>
        <v>0</v>
      </c>
      <c r="F189" s="4">
        <f t="shared" ref="F189:K189" si="192">F188/17.1</f>
        <v>0.85380116959064323</v>
      </c>
      <c r="G189" s="4">
        <f t="shared" si="192"/>
        <v>1.1461988304093567</v>
      </c>
      <c r="H189" s="4">
        <f t="shared" si="192"/>
        <v>1.0467836257309939</v>
      </c>
      <c r="I189" s="4">
        <f t="shared" si="192"/>
        <v>0.52631578947368418</v>
      </c>
      <c r="J189" s="4">
        <f t="shared" si="192"/>
        <v>1.2748538011695907</v>
      </c>
      <c r="K189" s="4">
        <f t="shared" si="192"/>
        <v>1.4678362573099415</v>
      </c>
    </row>
    <row r="191" spans="1:32" x14ac:dyDescent="0.25">
      <c r="A191" s="44" t="s">
        <v>277</v>
      </c>
      <c r="B191">
        <v>6.4</v>
      </c>
      <c r="C191" s="44"/>
      <c r="J191">
        <v>8</v>
      </c>
    </row>
    <row r="193" spans="1:32" x14ac:dyDescent="0.25">
      <c r="A193" t="s">
        <v>266</v>
      </c>
      <c r="B193">
        <v>8.4</v>
      </c>
      <c r="J193">
        <v>13.8</v>
      </c>
    </row>
    <row r="195" spans="1:32" x14ac:dyDescent="0.25">
      <c r="A195" t="s">
        <v>46</v>
      </c>
      <c r="B195">
        <v>18</v>
      </c>
      <c r="D195">
        <v>17</v>
      </c>
      <c r="J195">
        <v>11</v>
      </c>
      <c r="K195">
        <v>15</v>
      </c>
      <c r="L195">
        <v>9</v>
      </c>
      <c r="M195">
        <v>9</v>
      </c>
      <c r="N195">
        <v>11</v>
      </c>
      <c r="O195">
        <v>13</v>
      </c>
      <c r="P195">
        <v>12</v>
      </c>
      <c r="Q195">
        <v>9</v>
      </c>
      <c r="AB195">
        <v>11</v>
      </c>
      <c r="AC195">
        <v>12</v>
      </c>
    </row>
    <row r="196" spans="1:32" x14ac:dyDescent="0.25">
      <c r="A196" t="s">
        <v>116</v>
      </c>
      <c r="B196">
        <f t="shared" ref="B196:D196" si="193">B195</f>
        <v>18</v>
      </c>
      <c r="D196">
        <f t="shared" si="193"/>
        <v>17</v>
      </c>
      <c r="E196">
        <f t="shared" ref="E196:F196" si="194">E195</f>
        <v>0</v>
      </c>
      <c r="F196">
        <f t="shared" si="194"/>
        <v>0</v>
      </c>
      <c r="G196">
        <f t="shared" ref="G196:H196" si="195">G195</f>
        <v>0</v>
      </c>
      <c r="H196">
        <f t="shared" si="195"/>
        <v>0</v>
      </c>
      <c r="J196">
        <f t="shared" ref="J196:O196" si="196">J195</f>
        <v>11</v>
      </c>
      <c r="K196">
        <f t="shared" si="196"/>
        <v>15</v>
      </c>
      <c r="L196">
        <f t="shared" si="196"/>
        <v>9</v>
      </c>
      <c r="M196">
        <f t="shared" si="196"/>
        <v>9</v>
      </c>
      <c r="N196">
        <f t="shared" si="196"/>
        <v>11</v>
      </c>
      <c r="O196">
        <f t="shared" si="196"/>
        <v>13</v>
      </c>
      <c r="P196">
        <f t="shared" ref="P196:Q196" si="197">P195</f>
        <v>12</v>
      </c>
      <c r="Q196">
        <f t="shared" si="197"/>
        <v>9</v>
      </c>
      <c r="AB196">
        <f t="shared" ref="AB196:AC196" si="198">AB195</f>
        <v>11</v>
      </c>
      <c r="AC196">
        <f t="shared" si="198"/>
        <v>12</v>
      </c>
      <c r="AF196">
        <f>AF195</f>
        <v>0</v>
      </c>
    </row>
    <row r="197" spans="1:32" x14ac:dyDescent="0.25">
      <c r="A197" t="s">
        <v>120</v>
      </c>
    </row>
    <row r="199" spans="1:32" x14ac:dyDescent="0.25">
      <c r="A199" t="s">
        <v>47</v>
      </c>
      <c r="B199">
        <v>4.8</v>
      </c>
      <c r="D199">
        <v>4.9000000000000004</v>
      </c>
      <c r="F199">
        <v>5.3</v>
      </c>
      <c r="G199">
        <v>5.3</v>
      </c>
      <c r="H199">
        <v>5.0999999999999996</v>
      </c>
      <c r="I199">
        <v>5.3</v>
      </c>
      <c r="J199">
        <v>5.7</v>
      </c>
      <c r="K199">
        <v>5.2</v>
      </c>
      <c r="L199">
        <v>5.4</v>
      </c>
      <c r="M199">
        <v>5.5</v>
      </c>
      <c r="N199">
        <v>5.6</v>
      </c>
      <c r="O199">
        <v>5.4</v>
      </c>
      <c r="P199">
        <v>5.5</v>
      </c>
      <c r="Q199">
        <v>5.7</v>
      </c>
      <c r="Y199">
        <v>5.0999999999999996</v>
      </c>
      <c r="Z199">
        <v>5.15</v>
      </c>
      <c r="AD199">
        <v>5.2</v>
      </c>
    </row>
    <row r="200" spans="1:32" x14ac:dyDescent="0.25">
      <c r="A200" t="s">
        <v>75</v>
      </c>
      <c r="B200" s="2">
        <f t="shared" ref="B200:D200" si="199">B199/0.0555</f>
        <v>86.486486486486484</v>
      </c>
      <c r="D200" s="2">
        <f t="shared" si="199"/>
        <v>88.2882882882883</v>
      </c>
      <c r="E200" s="2">
        <f t="shared" ref="E200:F200" si="200">E199/0.0555</f>
        <v>0</v>
      </c>
      <c r="F200" s="2">
        <f t="shared" si="200"/>
        <v>95.49549549549549</v>
      </c>
      <c r="G200" s="2">
        <f t="shared" ref="G200:H200" si="201">G199/0.0555</f>
        <v>95.49549549549549</v>
      </c>
      <c r="H200" s="2">
        <f t="shared" si="201"/>
        <v>91.891891891891888</v>
      </c>
      <c r="I200" s="2">
        <f>I199/0.0555</f>
        <v>95.49549549549549</v>
      </c>
      <c r="J200" s="2">
        <f t="shared" ref="J200:O200" si="202">J199/0.0555</f>
        <v>102.70270270270271</v>
      </c>
      <c r="K200" s="2">
        <f t="shared" si="202"/>
        <v>93.693693693693689</v>
      </c>
      <c r="L200" s="2">
        <f t="shared" si="202"/>
        <v>97.297297297297305</v>
      </c>
      <c r="M200" s="2">
        <f t="shared" si="202"/>
        <v>99.099099099099092</v>
      </c>
      <c r="N200" s="2">
        <f t="shared" si="202"/>
        <v>100.90090090090089</v>
      </c>
      <c r="O200" s="2">
        <f t="shared" si="202"/>
        <v>97.297297297297305</v>
      </c>
      <c r="P200" s="2">
        <f t="shared" ref="P200:Q200" si="203">P199/0.0555</f>
        <v>99.099099099099092</v>
      </c>
      <c r="Q200" s="2">
        <f t="shared" si="203"/>
        <v>102.70270270270271</v>
      </c>
      <c r="R200" s="2"/>
      <c r="S200" s="2"/>
      <c r="T200" s="2"/>
      <c r="U200" s="2"/>
      <c r="V200" s="2"/>
      <c r="W200" s="2"/>
      <c r="X200" s="2"/>
      <c r="Y200" s="2"/>
      <c r="Z200" s="2">
        <f t="shared" ref="Z200" si="204">Z199/0.0555</f>
        <v>92.792792792792795</v>
      </c>
      <c r="AA200" s="2"/>
      <c r="AB200" s="2"/>
      <c r="AC200" s="2"/>
      <c r="AD200" s="2">
        <f t="shared" ref="AD200" si="205">AD199/0.0555</f>
        <v>93.693693693693689</v>
      </c>
      <c r="AE200" s="2"/>
      <c r="AF200" s="2">
        <f>AF199/0.0555</f>
        <v>0</v>
      </c>
    </row>
    <row r="201" spans="1:32" x14ac:dyDescent="0.25">
      <c r="A201" t="s">
        <v>120</v>
      </c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25">
      <c r="A202" t="s">
        <v>124</v>
      </c>
      <c r="B202" s="2">
        <f t="shared" ref="B202:D202" si="206">B200</f>
        <v>86.486486486486484</v>
      </c>
      <c r="D202" s="2">
        <f t="shared" si="206"/>
        <v>88.2882882882883</v>
      </c>
      <c r="E202" s="2">
        <f t="shared" ref="E202:F202" si="207">E200</f>
        <v>0</v>
      </c>
      <c r="F202" s="2">
        <f t="shared" si="207"/>
        <v>95.49549549549549</v>
      </c>
      <c r="G202" s="2">
        <f t="shared" ref="G202:H202" si="208">G200</f>
        <v>95.49549549549549</v>
      </c>
      <c r="H202" s="2">
        <f t="shared" si="208"/>
        <v>91.891891891891888</v>
      </c>
      <c r="I202" s="2">
        <f>I200</f>
        <v>95.49549549549549</v>
      </c>
      <c r="J202" s="2">
        <f t="shared" ref="J202:O202" si="209">J200</f>
        <v>102.70270270270271</v>
      </c>
      <c r="K202" s="2">
        <f t="shared" si="209"/>
        <v>93.693693693693689</v>
      </c>
      <c r="L202" s="2">
        <f t="shared" si="209"/>
        <v>97.297297297297305</v>
      </c>
      <c r="M202" s="2">
        <f t="shared" si="209"/>
        <v>99.099099099099092</v>
      </c>
      <c r="N202" s="2">
        <f t="shared" si="209"/>
        <v>100.90090090090089</v>
      </c>
      <c r="O202" s="2">
        <f t="shared" si="209"/>
        <v>97.297297297297305</v>
      </c>
      <c r="P202" s="2">
        <f t="shared" ref="P202:Q202" si="210">P200</f>
        <v>99.099099099099092</v>
      </c>
      <c r="Q202" s="2">
        <f t="shared" si="210"/>
        <v>102.70270270270271</v>
      </c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>
        <f>AF200</f>
        <v>0</v>
      </c>
    </row>
    <row r="203" spans="1:32" x14ac:dyDescent="0.25">
      <c r="A203" t="s">
        <v>233</v>
      </c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5" spans="1:32" x14ac:dyDescent="0.25">
      <c r="A205" t="s">
        <v>48</v>
      </c>
      <c r="J205">
        <v>108</v>
      </c>
      <c r="K205">
        <v>215</v>
      </c>
      <c r="L205">
        <v>98</v>
      </c>
      <c r="M205">
        <v>91</v>
      </c>
      <c r="N205">
        <v>181</v>
      </c>
      <c r="O205">
        <v>289</v>
      </c>
      <c r="P205">
        <v>168</v>
      </c>
    </row>
    <row r="206" spans="1:32" x14ac:dyDescent="0.25">
      <c r="A206" t="s">
        <v>103</v>
      </c>
      <c r="B206">
        <f>B205</f>
        <v>0</v>
      </c>
      <c r="D206">
        <f>D205</f>
        <v>0</v>
      </c>
      <c r="E206">
        <f>E205</f>
        <v>0</v>
      </c>
      <c r="F206">
        <f>F205</f>
        <v>0</v>
      </c>
      <c r="G206">
        <f>G205</f>
        <v>0</v>
      </c>
      <c r="H206">
        <f>H205</f>
        <v>0</v>
      </c>
      <c r="J206">
        <f>J205</f>
        <v>108</v>
      </c>
      <c r="K206">
        <f t="shared" ref="K206:P206" si="211">K205</f>
        <v>215</v>
      </c>
      <c r="L206">
        <f t="shared" si="211"/>
        <v>98</v>
      </c>
      <c r="M206">
        <f t="shared" si="211"/>
        <v>91</v>
      </c>
      <c r="N206">
        <f t="shared" si="211"/>
        <v>181</v>
      </c>
      <c r="O206">
        <f t="shared" si="211"/>
        <v>289</v>
      </c>
      <c r="P206">
        <f t="shared" si="211"/>
        <v>168</v>
      </c>
      <c r="AF206">
        <f>AF205</f>
        <v>0</v>
      </c>
    </row>
    <row r="208" spans="1:32" x14ac:dyDescent="0.25">
      <c r="A208" t="s">
        <v>49</v>
      </c>
      <c r="B208">
        <v>84</v>
      </c>
      <c r="D208">
        <v>81</v>
      </c>
      <c r="F208">
        <v>73</v>
      </c>
      <c r="G208">
        <v>92</v>
      </c>
      <c r="H208">
        <v>99</v>
      </c>
      <c r="I208">
        <v>86</v>
      </c>
      <c r="J208">
        <v>96</v>
      </c>
      <c r="K208">
        <v>90</v>
      </c>
      <c r="L208">
        <v>91</v>
      </c>
      <c r="M208">
        <v>84</v>
      </c>
      <c r="N208">
        <v>83</v>
      </c>
      <c r="O208">
        <v>82</v>
      </c>
    </row>
    <row r="209" spans="1:32" x14ac:dyDescent="0.25">
      <c r="A209" t="s">
        <v>155</v>
      </c>
      <c r="B209" s="4">
        <f t="shared" ref="B209:D209" si="212">B208/88.4</f>
        <v>0.95022624434389136</v>
      </c>
      <c r="D209" s="4">
        <f t="shared" si="212"/>
        <v>0.91628959276018096</v>
      </c>
      <c r="E209" s="4">
        <f t="shared" ref="E209:F209" si="213">E208/88.4</f>
        <v>0</v>
      </c>
      <c r="F209" s="4">
        <f t="shared" si="213"/>
        <v>0.82579185520361986</v>
      </c>
      <c r="G209" s="4">
        <f t="shared" ref="G209:H209" si="214">G208/88.4</f>
        <v>1.0407239819004523</v>
      </c>
      <c r="H209" s="4">
        <f t="shared" si="214"/>
        <v>1.1199095022624435</v>
      </c>
      <c r="I209" s="4">
        <f>I208/88.4</f>
        <v>0.97285067873303166</v>
      </c>
      <c r="J209" s="4">
        <f t="shared" ref="J209:O209" si="215">J208/88.4</f>
        <v>1.0859728506787329</v>
      </c>
      <c r="K209" s="4">
        <f t="shared" si="215"/>
        <v>1.0180995475113122</v>
      </c>
      <c r="L209" s="4">
        <f t="shared" si="215"/>
        <v>1.0294117647058822</v>
      </c>
      <c r="M209" s="4">
        <f t="shared" si="215"/>
        <v>0.95022624434389136</v>
      </c>
      <c r="N209" s="4">
        <f t="shared" si="215"/>
        <v>0.93891402714932126</v>
      </c>
      <c r="O209" s="4">
        <f t="shared" si="215"/>
        <v>0.92760180995475106</v>
      </c>
      <c r="AF209" s="4">
        <f>AF208/88.4</f>
        <v>0</v>
      </c>
    </row>
    <row r="210" spans="1:32" x14ac:dyDescent="0.25">
      <c r="A210" t="s">
        <v>205</v>
      </c>
      <c r="B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AF210" s="4"/>
    </row>
    <row r="212" spans="1:32" x14ac:dyDescent="0.25">
      <c r="A212" t="s">
        <v>332</v>
      </c>
      <c r="B212">
        <v>5.5</v>
      </c>
      <c r="D212">
        <v>5</v>
      </c>
      <c r="F212">
        <v>4.0999999999999996</v>
      </c>
      <c r="G212">
        <v>5.7</v>
      </c>
      <c r="H212">
        <v>6.6</v>
      </c>
      <c r="I212">
        <v>4.4000000000000004</v>
      </c>
      <c r="J212">
        <v>4</v>
      </c>
      <c r="K212">
        <v>4.5</v>
      </c>
      <c r="L212">
        <v>5.2</v>
      </c>
      <c r="M212">
        <v>5.7</v>
      </c>
      <c r="N212">
        <v>3.7</v>
      </c>
      <c r="O212">
        <v>7.8</v>
      </c>
    </row>
    <row r="213" spans="1:32" x14ac:dyDescent="0.25">
      <c r="A213" t="s">
        <v>154</v>
      </c>
      <c r="B213" s="2">
        <f>B212/0.166/2.1428</f>
        <v>15.462259716484006</v>
      </c>
      <c r="D213" s="2">
        <f>D212/0.166/2.1428</f>
        <v>14.056599742258188</v>
      </c>
      <c r="E213" s="2">
        <f>E212/0.166/2.1428</f>
        <v>0</v>
      </c>
      <c r="F213" s="2">
        <f>F212/0.166/2.1428</f>
        <v>11.526411788651714</v>
      </c>
      <c r="G213" s="2">
        <f>G212/0.166/2.1428</f>
        <v>16.024523706174332</v>
      </c>
      <c r="H213" s="2">
        <f>H212/0.166/2.1428</f>
        <v>18.554711659780807</v>
      </c>
      <c r="I213" s="2">
        <f t="shared" ref="I213:O213" si="216">I212/0.166/2.1428</f>
        <v>12.369807773187205</v>
      </c>
      <c r="J213" s="2">
        <f t="shared" si="216"/>
        <v>11.245279793806549</v>
      </c>
      <c r="K213" s="2">
        <f t="shared" si="216"/>
        <v>12.650939768032369</v>
      </c>
      <c r="L213" s="2">
        <f t="shared" si="216"/>
        <v>14.618863731948515</v>
      </c>
      <c r="M213" s="2">
        <f t="shared" si="216"/>
        <v>16.024523706174332</v>
      </c>
      <c r="N213" s="2">
        <f t="shared" si="216"/>
        <v>10.401883809271059</v>
      </c>
      <c r="O213" s="2">
        <f t="shared" si="216"/>
        <v>21.928295597922773</v>
      </c>
      <c r="AF213" s="2">
        <f>AF212/0.166</f>
        <v>0</v>
      </c>
    </row>
    <row r="215" spans="1:32" x14ac:dyDescent="0.25">
      <c r="A215" s="44" t="s">
        <v>278</v>
      </c>
      <c r="C215" s="44"/>
      <c r="I215">
        <v>258</v>
      </c>
      <c r="J215">
        <v>279</v>
      </c>
    </row>
    <row r="217" spans="1:32" x14ac:dyDescent="0.25">
      <c r="A217" t="s">
        <v>209</v>
      </c>
      <c r="B217">
        <v>68</v>
      </c>
      <c r="D217">
        <v>68</v>
      </c>
      <c r="F217">
        <v>66</v>
      </c>
      <c r="G217">
        <v>71</v>
      </c>
      <c r="H217">
        <v>74</v>
      </c>
      <c r="I217">
        <v>78</v>
      </c>
      <c r="J217">
        <v>68</v>
      </c>
      <c r="K217">
        <v>69</v>
      </c>
    </row>
    <row r="218" spans="1:32" x14ac:dyDescent="0.25">
      <c r="A218" t="s">
        <v>215</v>
      </c>
      <c r="B218">
        <f t="shared" ref="B218" si="217">B217/10</f>
        <v>6.8</v>
      </c>
      <c r="D218">
        <f t="shared" ref="D218:E218" si="218">D217/10</f>
        <v>6.8</v>
      </c>
      <c r="E218">
        <f t="shared" si="218"/>
        <v>0</v>
      </c>
      <c r="F218">
        <f t="shared" ref="F218:K218" si="219">F217/10</f>
        <v>6.6</v>
      </c>
      <c r="G218">
        <f t="shared" si="219"/>
        <v>7.1</v>
      </c>
      <c r="H218">
        <f t="shared" si="219"/>
        <v>7.4</v>
      </c>
      <c r="I218">
        <f t="shared" si="219"/>
        <v>7.8</v>
      </c>
      <c r="J218">
        <f t="shared" si="219"/>
        <v>6.8</v>
      </c>
      <c r="K218">
        <f t="shared" si="219"/>
        <v>6.9</v>
      </c>
    </row>
    <row r="220" spans="1:32" x14ac:dyDescent="0.25">
      <c r="A220" t="s">
        <v>50</v>
      </c>
      <c r="B220">
        <v>0.36</v>
      </c>
      <c r="D220">
        <v>0.37</v>
      </c>
      <c r="F220">
        <v>0.34</v>
      </c>
      <c r="G220">
        <v>0.37</v>
      </c>
      <c r="H220">
        <v>0.38</v>
      </c>
      <c r="J220">
        <v>0.34</v>
      </c>
      <c r="K220">
        <v>0.48</v>
      </c>
      <c r="L220">
        <v>0.57999999999999996</v>
      </c>
      <c r="M220">
        <v>0.44</v>
      </c>
      <c r="N220">
        <v>0.43</v>
      </c>
      <c r="O220">
        <v>0.53</v>
      </c>
      <c r="P220">
        <v>0.48</v>
      </c>
      <c r="Q220">
        <v>0.61</v>
      </c>
      <c r="AD220">
        <v>1.03</v>
      </c>
    </row>
    <row r="221" spans="1:32" x14ac:dyDescent="0.25">
      <c r="A221" t="s">
        <v>77</v>
      </c>
      <c r="B221" s="3">
        <f t="shared" ref="B221:D221" si="220">B220/0.0113</f>
        <v>31.858407079646017</v>
      </c>
      <c r="D221" s="3">
        <f t="shared" si="220"/>
        <v>32.743362831858406</v>
      </c>
      <c r="E221" s="3">
        <f t="shared" ref="E221:F221" si="221">E220/0.0113</f>
        <v>0</v>
      </c>
      <c r="F221" s="3">
        <f t="shared" si="221"/>
        <v>30.088495575221241</v>
      </c>
      <c r="G221" s="3">
        <f t="shared" ref="G221:H221" si="222">G220/0.0113</f>
        <v>32.743362831858406</v>
      </c>
      <c r="H221" s="3">
        <f t="shared" si="222"/>
        <v>33.628318584070797</v>
      </c>
      <c r="I221" s="3"/>
      <c r="J221" s="3">
        <f t="shared" ref="J221:O221" si="223">J220/0.0113</f>
        <v>30.088495575221241</v>
      </c>
      <c r="K221" s="3">
        <f t="shared" si="223"/>
        <v>42.477876106194692</v>
      </c>
      <c r="L221" s="3">
        <f t="shared" si="223"/>
        <v>51.32743362831858</v>
      </c>
      <c r="M221" s="3">
        <f t="shared" si="223"/>
        <v>38.938053097345133</v>
      </c>
      <c r="N221" s="3">
        <f t="shared" si="223"/>
        <v>38.053097345132748</v>
      </c>
      <c r="O221" s="3">
        <f t="shared" si="223"/>
        <v>46.902654867256643</v>
      </c>
      <c r="P221" s="3">
        <f t="shared" ref="P221:Q221" si="224">P220/0.0113</f>
        <v>42.477876106194692</v>
      </c>
      <c r="Q221" s="3">
        <f t="shared" si="224"/>
        <v>53.982300884955755</v>
      </c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>
        <f t="shared" ref="AD221" si="225">AD220/0.0113</f>
        <v>91.150442477876112</v>
      </c>
      <c r="AE221" s="3"/>
      <c r="AF221" s="3">
        <f>AF220/0.0113</f>
        <v>0</v>
      </c>
    </row>
    <row r="222" spans="1:32" x14ac:dyDescent="0.25">
      <c r="A222" t="s">
        <v>120</v>
      </c>
      <c r="B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25">
      <c r="A223" t="s">
        <v>139</v>
      </c>
      <c r="B223" s="3">
        <f t="shared" ref="B223:D223" si="226">B221</f>
        <v>31.858407079646017</v>
      </c>
      <c r="D223" s="3">
        <f t="shared" si="226"/>
        <v>32.743362831858406</v>
      </c>
      <c r="E223" s="3">
        <f t="shared" ref="E223:F223" si="227">E221</f>
        <v>0</v>
      </c>
      <c r="F223" s="3">
        <f t="shared" si="227"/>
        <v>30.088495575221241</v>
      </c>
      <c r="G223" s="3">
        <f t="shared" ref="G223:H223" si="228">G221</f>
        <v>32.743362831858406</v>
      </c>
      <c r="H223" s="3">
        <f t="shared" si="228"/>
        <v>33.628318584070797</v>
      </c>
      <c r="I223" s="3"/>
      <c r="J223" s="3">
        <f t="shared" ref="J223:O223" si="229">J221</f>
        <v>30.088495575221241</v>
      </c>
      <c r="K223" s="3">
        <f t="shared" si="229"/>
        <v>42.477876106194692</v>
      </c>
      <c r="L223" s="3">
        <f t="shared" si="229"/>
        <v>51.32743362831858</v>
      </c>
      <c r="M223" s="3">
        <f t="shared" si="229"/>
        <v>38.938053097345133</v>
      </c>
      <c r="N223" s="3">
        <f t="shared" si="229"/>
        <v>38.053097345132748</v>
      </c>
      <c r="O223" s="3">
        <f t="shared" si="229"/>
        <v>46.902654867256643</v>
      </c>
      <c r="P223" s="3">
        <f t="shared" ref="P223:Q223" si="230">P221</f>
        <v>42.477876106194692</v>
      </c>
      <c r="Q223" s="3">
        <f t="shared" si="230"/>
        <v>53.982300884955755</v>
      </c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>
        <f t="shared" ref="AD223" si="231">AD221</f>
        <v>91.150442477876112</v>
      </c>
      <c r="AE223" s="3"/>
      <c r="AF223" s="3">
        <f>AF221</f>
        <v>0</v>
      </c>
    </row>
    <row r="224" spans="1:32" x14ac:dyDescent="0.25">
      <c r="B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25">
      <c r="A225" t="s">
        <v>140</v>
      </c>
      <c r="B225" s="4">
        <f t="shared" ref="B225:D225" si="232">B223/B233</f>
        <v>0.4436197544961461</v>
      </c>
      <c r="D225" s="4">
        <f t="shared" si="232"/>
        <v>0.44634373544480666</v>
      </c>
      <c r="E225" s="4" t="e">
        <f t="shared" ref="E225:F225" si="233">E223/E233</f>
        <v>#DIV/0!</v>
      </c>
      <c r="F225" s="4">
        <f t="shared" si="233"/>
        <v>0.3996369412298616</v>
      </c>
      <c r="G225" s="4">
        <f t="shared" ref="G225:H225" si="234">G223/G233</f>
        <v>0.35782831111608976</v>
      </c>
      <c r="H225" s="4">
        <f t="shared" si="234"/>
        <v>0.50934119960668633</v>
      </c>
      <c r="I225" s="4"/>
      <c r="J225" s="4">
        <f t="shared" ref="J225:O225" si="235">J223/J233</f>
        <v>0.43535867899342462</v>
      </c>
      <c r="K225" s="4">
        <f t="shared" si="235"/>
        <v>0.66677393403057128</v>
      </c>
      <c r="L225" s="4">
        <f t="shared" si="235"/>
        <v>0.82060526603299444</v>
      </c>
      <c r="M225" s="4">
        <f t="shared" si="235"/>
        <v>0.71020815156425277</v>
      </c>
      <c r="N225" s="4">
        <f t="shared" si="235"/>
        <v>0.57300884955752218</v>
      </c>
      <c r="O225" s="4">
        <f t="shared" si="235"/>
        <v>0.72741243177362103</v>
      </c>
      <c r="P225" s="4">
        <f t="shared" ref="P225:Q225" si="236">P223/P233</f>
        <v>0.70979160719383383</v>
      </c>
      <c r="Q225" s="4">
        <f t="shared" si="236"/>
        <v>1.1848657567121645</v>
      </c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 t="e">
        <f>AF223/AF233</f>
        <v>#DIV/0!</v>
      </c>
    </row>
    <row r="227" spans="1:32" x14ac:dyDescent="0.25">
      <c r="A227" t="s">
        <v>51</v>
      </c>
      <c r="B227">
        <v>3.68</v>
      </c>
      <c r="D227">
        <v>4.18</v>
      </c>
      <c r="F227">
        <v>3.91</v>
      </c>
      <c r="G227">
        <v>4.1500000000000004</v>
      </c>
      <c r="H227">
        <v>3.7</v>
      </c>
      <c r="J227">
        <v>3.86</v>
      </c>
      <c r="K227">
        <v>3.41</v>
      </c>
      <c r="L227">
        <v>3.73</v>
      </c>
      <c r="M227">
        <v>3.63</v>
      </c>
      <c r="N227">
        <v>3.73</v>
      </c>
      <c r="O227">
        <v>3.75</v>
      </c>
      <c r="P227">
        <v>3.41</v>
      </c>
      <c r="Q227">
        <v>3.06</v>
      </c>
      <c r="Y227">
        <v>2.69</v>
      </c>
      <c r="AD227">
        <v>5.0999999999999996</v>
      </c>
    </row>
    <row r="228" spans="1:32" x14ac:dyDescent="0.25">
      <c r="A228" t="s">
        <v>78</v>
      </c>
      <c r="B228" s="3">
        <f t="shared" ref="B228:D228" si="237">B227/0.0259</f>
        <v>142.0849420849421</v>
      </c>
      <c r="D228" s="3">
        <f t="shared" si="237"/>
        <v>161.38996138996137</v>
      </c>
      <c r="E228" s="3">
        <f t="shared" ref="E228:F228" si="238">E227/0.0259</f>
        <v>0</v>
      </c>
      <c r="F228" s="3">
        <f t="shared" si="238"/>
        <v>150.96525096525099</v>
      </c>
      <c r="G228" s="3">
        <f t="shared" ref="G228" si="239">G227/0.0259</f>
        <v>160.23166023166024</v>
      </c>
      <c r="H228" s="3">
        <f t="shared" ref="H228:J228" si="240">H227/0.0259</f>
        <v>142.85714285714286</v>
      </c>
      <c r="I228" s="3"/>
      <c r="J228" s="3">
        <f t="shared" si="240"/>
        <v>149.03474903474904</v>
      </c>
      <c r="K228" s="3">
        <f t="shared" ref="K228" si="241">K227/0.0259</f>
        <v>131.66023166023166</v>
      </c>
      <c r="L228" s="3">
        <f t="shared" ref="L228" si="242">L227/0.0259</f>
        <v>144.01544401544402</v>
      </c>
      <c r="M228" s="3">
        <f t="shared" ref="M228:AF228" si="243">M227/0.0259</f>
        <v>140.15444015444015</v>
      </c>
      <c r="N228" s="3">
        <f t="shared" si="243"/>
        <v>144.01544401544402</v>
      </c>
      <c r="O228" s="3">
        <f t="shared" si="243"/>
        <v>144.78764478764478</v>
      </c>
      <c r="P228" s="3">
        <f t="shared" si="243"/>
        <v>131.66023166023166</v>
      </c>
      <c r="Q228" s="3">
        <f t="shared" si="243"/>
        <v>118.14671814671816</v>
      </c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>
        <f t="shared" ref="AD228" si="244">AD227/0.0259</f>
        <v>196.9111969111969</v>
      </c>
      <c r="AE228" s="3"/>
      <c r="AF228" s="3">
        <f t="shared" si="243"/>
        <v>0</v>
      </c>
    </row>
    <row r="229" spans="1:32" x14ac:dyDescent="0.25">
      <c r="A229" t="s">
        <v>137</v>
      </c>
      <c r="B229" s="3">
        <f t="shared" ref="B229:D229" si="245">B228</f>
        <v>142.0849420849421</v>
      </c>
      <c r="D229" s="3">
        <f t="shared" si="245"/>
        <v>161.38996138996137</v>
      </c>
      <c r="E229" s="3">
        <f t="shared" ref="E229:F229" si="246">E228</f>
        <v>0</v>
      </c>
      <c r="F229" s="3">
        <f t="shared" si="246"/>
        <v>150.96525096525099</v>
      </c>
      <c r="G229" s="3">
        <f t="shared" ref="G229:H229" si="247">G228</f>
        <v>160.23166023166024</v>
      </c>
      <c r="H229" s="3">
        <f t="shared" si="247"/>
        <v>142.85714285714286</v>
      </c>
      <c r="I229" s="3"/>
      <c r="J229" s="3">
        <f t="shared" ref="J229:O229" si="248">J228</f>
        <v>149.03474903474904</v>
      </c>
      <c r="K229" s="3">
        <f t="shared" si="248"/>
        <v>131.66023166023166</v>
      </c>
      <c r="L229" s="3">
        <f t="shared" si="248"/>
        <v>144.01544401544402</v>
      </c>
      <c r="M229" s="3">
        <f t="shared" si="248"/>
        <v>140.15444015444015</v>
      </c>
      <c r="N229" s="3">
        <f t="shared" si="248"/>
        <v>144.01544401544402</v>
      </c>
      <c r="O229" s="3">
        <f t="shared" si="248"/>
        <v>144.78764478764478</v>
      </c>
      <c r="P229" s="3">
        <f t="shared" ref="P229:Q229" si="249">P228</f>
        <v>131.66023166023166</v>
      </c>
      <c r="Q229" s="3">
        <f t="shared" si="249"/>
        <v>118.14671814671816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>
        <f t="shared" ref="AD229" si="250">AD228</f>
        <v>196.9111969111969</v>
      </c>
      <c r="AE229" s="3"/>
      <c r="AF229" s="3">
        <f>AF228</f>
        <v>0</v>
      </c>
    </row>
    <row r="231" spans="1:32" x14ac:dyDescent="0.25">
      <c r="A231" t="s">
        <v>52</v>
      </c>
      <c r="B231">
        <v>1.86</v>
      </c>
      <c r="D231">
        <v>1.9</v>
      </c>
      <c r="F231">
        <v>1.95</v>
      </c>
      <c r="G231">
        <v>2.37</v>
      </c>
      <c r="H231">
        <v>1.71</v>
      </c>
      <c r="J231">
        <v>1.79</v>
      </c>
      <c r="K231">
        <v>1.65</v>
      </c>
      <c r="L231">
        <v>1.62</v>
      </c>
      <c r="M231">
        <v>1.42</v>
      </c>
      <c r="N231">
        <v>1.72</v>
      </c>
      <c r="O231">
        <v>1.67</v>
      </c>
      <c r="P231">
        <v>1.55</v>
      </c>
      <c r="Q231">
        <v>1.18</v>
      </c>
      <c r="AD231">
        <v>1.7</v>
      </c>
    </row>
    <row r="232" spans="1:32" x14ac:dyDescent="0.25">
      <c r="A232" t="s">
        <v>79</v>
      </c>
      <c r="B232" s="3">
        <f t="shared" ref="B232:D232" si="251">B231/0.0259</f>
        <v>71.814671814671826</v>
      </c>
      <c r="D232" s="3">
        <f t="shared" si="251"/>
        <v>73.359073359073363</v>
      </c>
      <c r="E232" s="3">
        <f t="shared" ref="E232:F232" si="252">E231/0.0259</f>
        <v>0</v>
      </c>
      <c r="F232" s="3">
        <f t="shared" si="252"/>
        <v>75.289575289575296</v>
      </c>
      <c r="G232" s="3">
        <f t="shared" ref="G232" si="253">G231/0.0259</f>
        <v>91.505791505791507</v>
      </c>
      <c r="H232" s="3">
        <f t="shared" ref="H232:J232" si="254">H231/0.0259</f>
        <v>66.023166023166027</v>
      </c>
      <c r="I232" s="3"/>
      <c r="J232" s="3">
        <f t="shared" si="254"/>
        <v>69.111969111969117</v>
      </c>
      <c r="K232" s="3">
        <f t="shared" ref="K232" si="255">K231/0.0259</f>
        <v>63.706563706563706</v>
      </c>
      <c r="L232" s="3">
        <f t="shared" ref="L232" si="256">L231/0.0259</f>
        <v>62.548262548262556</v>
      </c>
      <c r="M232" s="3">
        <f t="shared" ref="M232:AF232" si="257">M231/0.0259</f>
        <v>54.826254826254825</v>
      </c>
      <c r="N232" s="3">
        <f t="shared" si="257"/>
        <v>66.409266409266408</v>
      </c>
      <c r="O232" s="3">
        <f t="shared" si="257"/>
        <v>64.478764478764475</v>
      </c>
      <c r="P232" s="3">
        <f t="shared" si="257"/>
        <v>59.845559845559848</v>
      </c>
      <c r="Q232" s="3">
        <f t="shared" si="257"/>
        <v>45.559845559845556</v>
      </c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>
        <f t="shared" ref="AD232" si="258">AD231/0.0259</f>
        <v>65.637065637065632</v>
      </c>
      <c r="AE232" s="3"/>
      <c r="AF232" s="3">
        <f t="shared" si="257"/>
        <v>0</v>
      </c>
    </row>
    <row r="233" spans="1:32" x14ac:dyDescent="0.25">
      <c r="A233" t="s">
        <v>138</v>
      </c>
      <c r="B233" s="3">
        <f t="shared" ref="B233:D233" si="259">B232</f>
        <v>71.814671814671826</v>
      </c>
      <c r="D233" s="3">
        <f t="shared" si="259"/>
        <v>73.359073359073363</v>
      </c>
      <c r="E233" s="3">
        <f t="shared" ref="E233:F233" si="260">E232</f>
        <v>0</v>
      </c>
      <c r="F233" s="3">
        <f t="shared" si="260"/>
        <v>75.289575289575296</v>
      </c>
      <c r="G233" s="3">
        <f t="shared" ref="G233:H233" si="261">G232</f>
        <v>91.505791505791507</v>
      </c>
      <c r="H233" s="3">
        <f t="shared" si="261"/>
        <v>66.023166023166027</v>
      </c>
      <c r="I233" s="3"/>
      <c r="J233" s="3">
        <f t="shared" ref="J233:O233" si="262">J232</f>
        <v>69.111969111969117</v>
      </c>
      <c r="K233" s="3">
        <f t="shared" si="262"/>
        <v>63.706563706563706</v>
      </c>
      <c r="L233" s="3">
        <f t="shared" si="262"/>
        <v>62.548262548262556</v>
      </c>
      <c r="M233" s="3">
        <f t="shared" si="262"/>
        <v>54.826254826254825</v>
      </c>
      <c r="N233" s="3">
        <f t="shared" si="262"/>
        <v>66.409266409266408</v>
      </c>
      <c r="O233" s="3">
        <f t="shared" si="262"/>
        <v>64.478764478764475</v>
      </c>
      <c r="P233" s="3">
        <f t="shared" ref="P233:Q233" si="263">P232</f>
        <v>59.845559845559848</v>
      </c>
      <c r="Q233" s="3">
        <f t="shared" si="263"/>
        <v>45.559845559845556</v>
      </c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>
        <f t="shared" ref="AD233" si="264">AD232</f>
        <v>65.637065637065632</v>
      </c>
      <c r="AE233" s="3"/>
      <c r="AF233" s="3">
        <f>AF232</f>
        <v>0</v>
      </c>
    </row>
    <row r="235" spans="1:32" x14ac:dyDescent="0.25">
      <c r="A235" t="s">
        <v>53</v>
      </c>
      <c r="B235">
        <v>1.66</v>
      </c>
      <c r="D235">
        <v>2.11</v>
      </c>
      <c r="F235">
        <v>1.81</v>
      </c>
      <c r="G235">
        <v>1.61</v>
      </c>
      <c r="H235">
        <v>1.82</v>
      </c>
      <c r="J235">
        <v>1.92</v>
      </c>
      <c r="K235">
        <v>1.54</v>
      </c>
      <c r="L235">
        <v>1.85</v>
      </c>
      <c r="M235">
        <v>2.0099999999999998</v>
      </c>
      <c r="N235">
        <v>1.81</v>
      </c>
      <c r="O235">
        <v>1.84</v>
      </c>
      <c r="P235">
        <v>1.64</v>
      </c>
      <c r="Q235">
        <v>1.6</v>
      </c>
      <c r="AD235">
        <v>3.25</v>
      </c>
    </row>
    <row r="236" spans="1:32" x14ac:dyDescent="0.25">
      <c r="A236" t="s">
        <v>80</v>
      </c>
      <c r="B236" s="3">
        <f t="shared" ref="B236:D236" si="265">B235/0.0259</f>
        <v>64.092664092664094</v>
      </c>
      <c r="D236" s="3">
        <f t="shared" si="265"/>
        <v>81.467181467181462</v>
      </c>
      <c r="E236" s="3">
        <f t="shared" ref="E236:F236" si="266">E235/0.0259</f>
        <v>0</v>
      </c>
      <c r="F236" s="3">
        <f t="shared" si="266"/>
        <v>69.884169884169893</v>
      </c>
      <c r="G236" s="3">
        <f t="shared" ref="G236:H236" si="267">G235/0.0259</f>
        <v>62.162162162162168</v>
      </c>
      <c r="H236" s="3">
        <f t="shared" si="267"/>
        <v>70.270270270270274</v>
      </c>
      <c r="I236" s="3"/>
      <c r="J236" s="3">
        <f t="shared" ref="J236:O236" si="268">J235/0.0259</f>
        <v>74.131274131274125</v>
      </c>
      <c r="K236" s="3">
        <f t="shared" si="268"/>
        <v>59.45945945945946</v>
      </c>
      <c r="L236" s="3">
        <f t="shared" si="268"/>
        <v>71.428571428571431</v>
      </c>
      <c r="M236" s="3">
        <f t="shared" si="268"/>
        <v>77.606177606177596</v>
      </c>
      <c r="N236" s="3">
        <f t="shared" si="268"/>
        <v>69.884169884169893</v>
      </c>
      <c r="O236" s="3">
        <f t="shared" si="268"/>
        <v>71.04247104247105</v>
      </c>
      <c r="P236" s="3">
        <f t="shared" ref="P236:Q236" si="269">P235/0.0259</f>
        <v>63.320463320463318</v>
      </c>
      <c r="Q236" s="3">
        <f t="shared" si="269"/>
        <v>61.776061776061781</v>
      </c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>
        <f t="shared" ref="AD236" si="270">AD235/0.0259</f>
        <v>125.48262548262548</v>
      </c>
      <c r="AE236" s="3"/>
      <c r="AF236" s="3">
        <f>AF235/0.0259</f>
        <v>0</v>
      </c>
    </row>
    <row r="237" spans="1:32" x14ac:dyDescent="0.25">
      <c r="A237" t="s">
        <v>120</v>
      </c>
      <c r="B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9" spans="1:32" x14ac:dyDescent="0.25">
      <c r="A239" t="s">
        <v>279</v>
      </c>
      <c r="B239">
        <v>1.82</v>
      </c>
      <c r="D239">
        <v>2.2799999999999998</v>
      </c>
      <c r="F239">
        <v>1.96</v>
      </c>
      <c r="G239">
        <v>1.78</v>
      </c>
      <c r="H239">
        <v>1.99</v>
      </c>
      <c r="J239">
        <v>2.0699999999999998</v>
      </c>
      <c r="K239">
        <v>1.76</v>
      </c>
      <c r="L239">
        <v>2.11</v>
      </c>
      <c r="M239">
        <v>2.21</v>
      </c>
      <c r="N239">
        <v>2.0099999999999998</v>
      </c>
      <c r="O239">
        <v>2.08</v>
      </c>
      <c r="P239">
        <v>1.86</v>
      </c>
      <c r="Q239">
        <v>1.88</v>
      </c>
    </row>
    <row r="241" spans="1:32" x14ac:dyDescent="0.25">
      <c r="A241" t="s">
        <v>206</v>
      </c>
      <c r="B241">
        <v>71</v>
      </c>
      <c r="D241">
        <v>71</v>
      </c>
      <c r="F241">
        <v>79</v>
      </c>
      <c r="G241">
        <v>78</v>
      </c>
      <c r="H241">
        <v>68</v>
      </c>
      <c r="I241">
        <v>57</v>
      </c>
      <c r="J241">
        <v>52</v>
      </c>
      <c r="K241">
        <v>58</v>
      </c>
      <c r="L241">
        <v>62</v>
      </c>
      <c r="AB241">
        <v>46</v>
      </c>
      <c r="AC241">
        <v>39</v>
      </c>
    </row>
    <row r="242" spans="1:32" x14ac:dyDescent="0.25">
      <c r="A242" t="s">
        <v>207</v>
      </c>
      <c r="B242">
        <f t="shared" ref="B242:D242" si="271">B241</f>
        <v>71</v>
      </c>
      <c r="D242">
        <f t="shared" si="271"/>
        <v>71</v>
      </c>
      <c r="E242">
        <f t="shared" ref="E242:F242" si="272">E241</f>
        <v>0</v>
      </c>
      <c r="F242">
        <f t="shared" si="272"/>
        <v>79</v>
      </c>
      <c r="G242">
        <f t="shared" ref="G242:L242" si="273">G241</f>
        <v>78</v>
      </c>
      <c r="H242">
        <f t="shared" si="273"/>
        <v>68</v>
      </c>
      <c r="I242">
        <f t="shared" si="273"/>
        <v>57</v>
      </c>
      <c r="J242">
        <f t="shared" si="273"/>
        <v>52</v>
      </c>
      <c r="K242">
        <f t="shared" si="273"/>
        <v>58</v>
      </c>
      <c r="L242">
        <f t="shared" si="273"/>
        <v>62</v>
      </c>
      <c r="AB242">
        <f>AB241</f>
        <v>46</v>
      </c>
      <c r="AC242">
        <f>AC241</f>
        <v>39</v>
      </c>
    </row>
    <row r="243" spans="1:32" x14ac:dyDescent="0.25">
      <c r="A243" t="s">
        <v>205</v>
      </c>
    </row>
    <row r="245" spans="1:32" x14ac:dyDescent="0.25">
      <c r="A245" t="s">
        <v>54</v>
      </c>
      <c r="M245">
        <v>1.6</v>
      </c>
      <c r="N245">
        <v>1.2</v>
      </c>
      <c r="O245">
        <v>1.2</v>
      </c>
      <c r="P245">
        <v>1.2</v>
      </c>
      <c r="Q245">
        <v>1.6</v>
      </c>
      <c r="AD245">
        <v>2.0299999999999998</v>
      </c>
    </row>
    <row r="247" spans="1:32" x14ac:dyDescent="0.25">
      <c r="A247" t="s">
        <v>55</v>
      </c>
      <c r="B247">
        <v>2.37</v>
      </c>
      <c r="D247">
        <v>2.39</v>
      </c>
      <c r="F247">
        <v>2.4</v>
      </c>
      <c r="G247">
        <v>2.44</v>
      </c>
      <c r="H247">
        <v>2.35</v>
      </c>
      <c r="J247">
        <v>2.3199999999999998</v>
      </c>
      <c r="K247">
        <v>2.4</v>
      </c>
      <c r="L247">
        <v>2.44</v>
      </c>
      <c r="M247">
        <v>2.5</v>
      </c>
      <c r="N247">
        <v>2.39</v>
      </c>
      <c r="O247">
        <v>2.37</v>
      </c>
      <c r="P247">
        <v>2.36</v>
      </c>
      <c r="Q247">
        <v>2.42</v>
      </c>
      <c r="R247">
        <v>2.29</v>
      </c>
      <c r="S247">
        <v>2.25</v>
      </c>
      <c r="T247">
        <v>2.4</v>
      </c>
      <c r="U247">
        <v>2.29</v>
      </c>
      <c r="V247">
        <v>2.41</v>
      </c>
      <c r="W247">
        <v>2.2200000000000002</v>
      </c>
    </row>
    <row r="248" spans="1:32" x14ac:dyDescent="0.25">
      <c r="A248" t="s">
        <v>82</v>
      </c>
      <c r="B248">
        <f t="shared" ref="B248:D248" si="274">B247/0.25</f>
        <v>9.48</v>
      </c>
      <c r="D248">
        <f t="shared" si="274"/>
        <v>9.56</v>
      </c>
      <c r="E248">
        <f t="shared" ref="E248:F248" si="275">E247/0.25</f>
        <v>0</v>
      </c>
      <c r="F248">
        <f t="shared" si="275"/>
        <v>9.6</v>
      </c>
      <c r="G248">
        <f t="shared" ref="G248:H248" si="276">G247/0.25</f>
        <v>9.76</v>
      </c>
      <c r="H248">
        <f t="shared" si="276"/>
        <v>9.4</v>
      </c>
      <c r="J248">
        <f t="shared" ref="J248:O248" si="277">J247/0.25</f>
        <v>9.2799999999999994</v>
      </c>
      <c r="K248">
        <f t="shared" si="277"/>
        <v>9.6</v>
      </c>
      <c r="L248">
        <f t="shared" si="277"/>
        <v>9.76</v>
      </c>
      <c r="M248">
        <f t="shared" si="277"/>
        <v>10</v>
      </c>
      <c r="N248">
        <f t="shared" si="277"/>
        <v>9.56</v>
      </c>
      <c r="O248">
        <f t="shared" si="277"/>
        <v>9.48</v>
      </c>
      <c r="P248">
        <f t="shared" ref="P248:W248" si="278">P247/0.25</f>
        <v>9.44</v>
      </c>
      <c r="Q248">
        <f t="shared" si="278"/>
        <v>9.68</v>
      </c>
      <c r="R248">
        <f t="shared" ref="R248" si="279">R247/0.25</f>
        <v>9.16</v>
      </c>
      <c r="S248">
        <f t="shared" si="278"/>
        <v>9</v>
      </c>
      <c r="T248">
        <f t="shared" si="278"/>
        <v>9.6</v>
      </c>
      <c r="U248">
        <f t="shared" ref="U248:V248" si="280">U247/0.25</f>
        <v>9.16</v>
      </c>
      <c r="V248">
        <f t="shared" si="280"/>
        <v>9.64</v>
      </c>
      <c r="W248">
        <f t="shared" si="278"/>
        <v>8.8800000000000008</v>
      </c>
      <c r="AF248">
        <f>AF247/0.25</f>
        <v>0</v>
      </c>
    </row>
    <row r="249" spans="1:32" x14ac:dyDescent="0.25">
      <c r="A249" t="s">
        <v>121</v>
      </c>
    </row>
    <row r="251" spans="1:32" x14ac:dyDescent="0.25">
      <c r="A251" t="s">
        <v>56</v>
      </c>
      <c r="B251">
        <v>4.9000000000000004</v>
      </c>
      <c r="C251">
        <v>4.3</v>
      </c>
      <c r="D251">
        <v>4.4000000000000004</v>
      </c>
      <c r="E251">
        <v>4.2</v>
      </c>
      <c r="F251">
        <v>4.9000000000000004</v>
      </c>
      <c r="G251">
        <v>4</v>
      </c>
      <c r="H251">
        <v>4</v>
      </c>
      <c r="J251">
        <v>3.8</v>
      </c>
      <c r="K251">
        <v>3.8</v>
      </c>
      <c r="L251">
        <v>4.2</v>
      </c>
      <c r="M251">
        <v>4.0999999999999996</v>
      </c>
      <c r="N251">
        <v>4.2</v>
      </c>
      <c r="O251">
        <v>4.4000000000000004</v>
      </c>
      <c r="P251">
        <v>4.3</v>
      </c>
      <c r="Q251">
        <v>4.0999999999999996</v>
      </c>
    </row>
    <row r="252" spans="1:32" x14ac:dyDescent="0.25">
      <c r="A252" t="s">
        <v>83</v>
      </c>
      <c r="B252">
        <f t="shared" ref="B252:D252" si="281">B251</f>
        <v>4.9000000000000004</v>
      </c>
      <c r="D252">
        <f t="shared" si="281"/>
        <v>4.4000000000000004</v>
      </c>
      <c r="E252">
        <f t="shared" ref="E252:F252" si="282">E251</f>
        <v>4.2</v>
      </c>
      <c r="F252">
        <f t="shared" si="282"/>
        <v>4.9000000000000004</v>
      </c>
      <c r="G252">
        <f t="shared" ref="G252:H252" si="283">G251</f>
        <v>4</v>
      </c>
      <c r="H252">
        <f t="shared" si="283"/>
        <v>4</v>
      </c>
      <c r="J252">
        <f t="shared" ref="J252:O252" si="284">J251</f>
        <v>3.8</v>
      </c>
      <c r="K252">
        <f t="shared" si="284"/>
        <v>3.8</v>
      </c>
      <c r="L252">
        <f t="shared" si="284"/>
        <v>4.2</v>
      </c>
      <c r="M252">
        <f t="shared" si="284"/>
        <v>4.0999999999999996</v>
      </c>
      <c r="N252">
        <f t="shared" si="284"/>
        <v>4.2</v>
      </c>
      <c r="O252">
        <f t="shared" si="284"/>
        <v>4.4000000000000004</v>
      </c>
      <c r="P252">
        <f t="shared" ref="P252:Q252" si="285">P251</f>
        <v>4.3</v>
      </c>
      <c r="Q252">
        <f t="shared" si="285"/>
        <v>4.0999999999999996</v>
      </c>
      <c r="AF252">
        <f>AF251</f>
        <v>0</v>
      </c>
    </row>
    <row r="253" spans="1:32" x14ac:dyDescent="0.25">
      <c r="A253" t="s">
        <v>141</v>
      </c>
      <c r="B253">
        <f t="shared" ref="B253:D253" si="286">B251</f>
        <v>4.9000000000000004</v>
      </c>
      <c r="D253">
        <f t="shared" si="286"/>
        <v>4.4000000000000004</v>
      </c>
      <c r="E253">
        <f t="shared" ref="E253:F253" si="287">E251</f>
        <v>4.2</v>
      </c>
      <c r="F253">
        <f t="shared" si="287"/>
        <v>4.9000000000000004</v>
      </c>
      <c r="G253">
        <f t="shared" ref="G253:H253" si="288">G251</f>
        <v>4</v>
      </c>
      <c r="H253">
        <f t="shared" si="288"/>
        <v>4</v>
      </c>
      <c r="J253">
        <f t="shared" ref="J253:O253" si="289">J251</f>
        <v>3.8</v>
      </c>
      <c r="K253">
        <f t="shared" si="289"/>
        <v>3.8</v>
      </c>
      <c r="L253">
        <f t="shared" si="289"/>
        <v>4.2</v>
      </c>
      <c r="M253">
        <f t="shared" si="289"/>
        <v>4.0999999999999996</v>
      </c>
      <c r="N253">
        <f t="shared" si="289"/>
        <v>4.2</v>
      </c>
      <c r="O253">
        <f t="shared" si="289"/>
        <v>4.4000000000000004</v>
      </c>
      <c r="P253">
        <f t="shared" ref="P253:Q253" si="290">P251</f>
        <v>4.3</v>
      </c>
      <c r="Q253">
        <f t="shared" si="290"/>
        <v>4.0999999999999996</v>
      </c>
      <c r="AF253">
        <f>AF251</f>
        <v>0</v>
      </c>
    </row>
    <row r="255" spans="1:32" x14ac:dyDescent="0.25">
      <c r="A255" t="s">
        <v>57</v>
      </c>
      <c r="B255">
        <v>132</v>
      </c>
      <c r="C255">
        <v>129</v>
      </c>
      <c r="D255">
        <v>131</v>
      </c>
      <c r="E255">
        <v>131</v>
      </c>
      <c r="F255">
        <v>133</v>
      </c>
      <c r="G255">
        <v>132</v>
      </c>
      <c r="H255">
        <v>137</v>
      </c>
      <c r="J255">
        <v>136</v>
      </c>
      <c r="K255">
        <v>141</v>
      </c>
      <c r="L255">
        <v>136</v>
      </c>
      <c r="M255">
        <v>138</v>
      </c>
      <c r="N255">
        <v>140</v>
      </c>
      <c r="O255">
        <v>139</v>
      </c>
      <c r="P255">
        <v>139</v>
      </c>
      <c r="Q255">
        <v>137</v>
      </c>
    </row>
    <row r="256" spans="1:32" x14ac:dyDescent="0.25">
      <c r="A256" t="s">
        <v>84</v>
      </c>
      <c r="B256">
        <f t="shared" ref="B256:D256" si="291">B255</f>
        <v>132</v>
      </c>
      <c r="D256">
        <f t="shared" si="291"/>
        <v>131</v>
      </c>
      <c r="E256">
        <f t="shared" ref="E256:F256" si="292">E255</f>
        <v>131</v>
      </c>
      <c r="F256">
        <f t="shared" si="292"/>
        <v>133</v>
      </c>
      <c r="G256">
        <f t="shared" ref="G256:H256" si="293">G255</f>
        <v>132</v>
      </c>
      <c r="H256">
        <f t="shared" si="293"/>
        <v>137</v>
      </c>
      <c r="J256">
        <f t="shared" ref="J256:O256" si="294">J255</f>
        <v>136</v>
      </c>
      <c r="K256">
        <f t="shared" si="294"/>
        <v>141</v>
      </c>
      <c r="L256">
        <f t="shared" si="294"/>
        <v>136</v>
      </c>
      <c r="M256">
        <f t="shared" si="294"/>
        <v>138</v>
      </c>
      <c r="N256">
        <f t="shared" si="294"/>
        <v>140</v>
      </c>
      <c r="O256">
        <f t="shared" si="294"/>
        <v>139</v>
      </c>
      <c r="P256">
        <f t="shared" ref="P256:Q256" si="295">P255</f>
        <v>139</v>
      </c>
      <c r="Q256">
        <f t="shared" si="295"/>
        <v>137</v>
      </c>
      <c r="AF256">
        <f>AF255</f>
        <v>0</v>
      </c>
    </row>
    <row r="258" spans="1:32" x14ac:dyDescent="0.25">
      <c r="A258" t="s">
        <v>274</v>
      </c>
      <c r="B258">
        <v>96</v>
      </c>
      <c r="C258">
        <v>94</v>
      </c>
      <c r="D258">
        <v>95</v>
      </c>
      <c r="E258">
        <v>96</v>
      </c>
      <c r="F258">
        <v>95</v>
      </c>
      <c r="G258">
        <v>94</v>
      </c>
      <c r="H258">
        <v>103</v>
      </c>
      <c r="J258">
        <v>99</v>
      </c>
      <c r="K258">
        <v>102</v>
      </c>
      <c r="L258">
        <v>100</v>
      </c>
      <c r="M258">
        <v>102</v>
      </c>
      <c r="N258">
        <v>104</v>
      </c>
      <c r="O258">
        <v>102</v>
      </c>
      <c r="P258">
        <v>102</v>
      </c>
      <c r="Q258">
        <v>100</v>
      </c>
    </row>
    <row r="260" spans="1:32" x14ac:dyDescent="0.25">
      <c r="A260" t="s">
        <v>58</v>
      </c>
      <c r="J260">
        <v>0.78</v>
      </c>
      <c r="K260">
        <v>0.85</v>
      </c>
      <c r="L260">
        <v>0.84</v>
      </c>
      <c r="M260">
        <v>0.8</v>
      </c>
      <c r="N260">
        <v>0.84</v>
      </c>
      <c r="O260">
        <v>0.78</v>
      </c>
      <c r="P260">
        <v>0.79</v>
      </c>
      <c r="Q260">
        <v>0.76</v>
      </c>
      <c r="T260">
        <v>0.81</v>
      </c>
    </row>
    <row r="261" spans="1:32" x14ac:dyDescent="0.25">
      <c r="A261" t="s">
        <v>85</v>
      </c>
      <c r="B261" s="4">
        <f t="shared" ref="B261:D261" si="296">B260/0.4114</f>
        <v>0</v>
      </c>
      <c r="D261" s="4">
        <f t="shared" si="296"/>
        <v>0</v>
      </c>
      <c r="E261" s="4">
        <f t="shared" ref="E261:F261" si="297">E260/0.4114</f>
        <v>0</v>
      </c>
      <c r="F261" s="4">
        <f t="shared" si="297"/>
        <v>0</v>
      </c>
      <c r="G261" s="4">
        <f t="shared" ref="G261:H261" si="298">G260/0.4114</f>
        <v>0</v>
      </c>
      <c r="H261" s="4">
        <f t="shared" si="298"/>
        <v>0</v>
      </c>
      <c r="I261" s="4"/>
      <c r="J261" s="4">
        <f t="shared" ref="J261:O261" si="299">J260/0.4114</f>
        <v>1.8959649975692758</v>
      </c>
      <c r="K261" s="4">
        <f t="shared" si="299"/>
        <v>2.0661157024793391</v>
      </c>
      <c r="L261" s="4">
        <f t="shared" si="299"/>
        <v>2.0418084589207584</v>
      </c>
      <c r="M261" s="4">
        <f t="shared" si="299"/>
        <v>1.9445794846864368</v>
      </c>
      <c r="N261" s="4">
        <f t="shared" si="299"/>
        <v>2.0418084589207584</v>
      </c>
      <c r="O261" s="4">
        <f t="shared" si="299"/>
        <v>1.8959649975692758</v>
      </c>
      <c r="P261" s="4">
        <f t="shared" ref="P261:T261" si="300">P260/0.4114</f>
        <v>1.9202722411278563</v>
      </c>
      <c r="Q261" s="4">
        <f t="shared" si="300"/>
        <v>1.8473505104521148</v>
      </c>
      <c r="R261" s="4"/>
      <c r="S261" s="4"/>
      <c r="T261" s="4">
        <f t="shared" si="300"/>
        <v>1.9688867282450171</v>
      </c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>
        <f>AF260/0.4114</f>
        <v>0</v>
      </c>
    </row>
    <row r="263" spans="1:32" x14ac:dyDescent="0.25">
      <c r="A263" t="s">
        <v>59</v>
      </c>
      <c r="B263">
        <v>16.37</v>
      </c>
      <c r="D263">
        <v>20.32</v>
      </c>
      <c r="E263">
        <v>15.7</v>
      </c>
      <c r="F263">
        <v>15.65</v>
      </c>
      <c r="G263">
        <v>21.39</v>
      </c>
      <c r="H263">
        <v>14.74</v>
      </c>
      <c r="J263">
        <v>19.46</v>
      </c>
      <c r="K263">
        <v>23.13</v>
      </c>
      <c r="L263">
        <v>18.3</v>
      </c>
      <c r="M263">
        <v>13.02</v>
      </c>
      <c r="N263">
        <v>13.08</v>
      </c>
      <c r="O263">
        <v>8.41</v>
      </c>
      <c r="P263">
        <v>10.220000000000001</v>
      </c>
      <c r="Q263">
        <v>19.29</v>
      </c>
      <c r="S263">
        <v>17.64</v>
      </c>
      <c r="T263">
        <v>13.27</v>
      </c>
      <c r="U263">
        <v>14.25</v>
      </c>
      <c r="V263">
        <v>10.98</v>
      </c>
      <c r="W263">
        <v>20.61</v>
      </c>
    </row>
    <row r="264" spans="1:32" x14ac:dyDescent="0.25">
      <c r="A264" t="s">
        <v>106</v>
      </c>
      <c r="B264" s="2">
        <f t="shared" ref="B264:D264" si="301">B263/0.179</f>
        <v>91.452513966480453</v>
      </c>
      <c r="D264" s="2">
        <f t="shared" si="301"/>
        <v>113.5195530726257</v>
      </c>
      <c r="E264" s="2">
        <f t="shared" ref="E264:F264" si="302">E263/0.179</f>
        <v>87.709497206703915</v>
      </c>
      <c r="F264" s="2">
        <f t="shared" si="302"/>
        <v>87.430167597765376</v>
      </c>
      <c r="G264" s="2">
        <f t="shared" ref="G264:H264" si="303">G263/0.179</f>
        <v>119.49720670391062</v>
      </c>
      <c r="H264" s="2">
        <f t="shared" si="303"/>
        <v>82.346368715083798</v>
      </c>
      <c r="I264" s="2"/>
      <c r="J264" s="2">
        <f t="shared" ref="J264:O264" si="304">J263/0.179</f>
        <v>108.71508379888269</v>
      </c>
      <c r="K264" s="2">
        <f t="shared" si="304"/>
        <v>129.21787709497207</v>
      </c>
      <c r="L264" s="2">
        <f t="shared" si="304"/>
        <v>102.23463687150839</v>
      </c>
      <c r="M264" s="2">
        <f t="shared" si="304"/>
        <v>72.737430167597765</v>
      </c>
      <c r="N264" s="2">
        <f t="shared" si="304"/>
        <v>73.072625698324032</v>
      </c>
      <c r="O264" s="2">
        <f t="shared" si="304"/>
        <v>46.983240223463689</v>
      </c>
      <c r="P264" s="2">
        <f t="shared" ref="P264:W264" si="305">P263/0.179</f>
        <v>57.094972067039109</v>
      </c>
      <c r="Q264" s="2">
        <f t="shared" si="305"/>
        <v>107.76536312849161</v>
      </c>
      <c r="R264" s="2"/>
      <c r="S264" s="2">
        <f t="shared" si="305"/>
        <v>98.547486033519561</v>
      </c>
      <c r="T264" s="2">
        <f t="shared" si="305"/>
        <v>74.134078212290504</v>
      </c>
      <c r="U264" s="2">
        <f t="shared" ref="U264:V264" si="306">U263/0.179</f>
        <v>79.608938547486034</v>
      </c>
      <c r="V264" s="2">
        <f t="shared" si="306"/>
        <v>61.340782122905033</v>
      </c>
      <c r="W264" s="2">
        <f t="shared" si="305"/>
        <v>115.13966480446928</v>
      </c>
      <c r="X264" s="2"/>
      <c r="Y264" s="2"/>
      <c r="Z264" s="2"/>
      <c r="AA264" s="2"/>
      <c r="AB264" s="2"/>
      <c r="AC264" s="2"/>
      <c r="AD264" s="2"/>
      <c r="AE264" s="2"/>
      <c r="AF264" s="2">
        <f>AF263/0.179</f>
        <v>0</v>
      </c>
    </row>
    <row r="266" spans="1:32" x14ac:dyDescent="0.25">
      <c r="A266" t="s">
        <v>223</v>
      </c>
      <c r="J266">
        <v>32</v>
      </c>
      <c r="K266">
        <v>27</v>
      </c>
      <c r="L266">
        <v>28</v>
      </c>
      <c r="M266">
        <v>36</v>
      </c>
      <c r="N266">
        <v>41</v>
      </c>
      <c r="O266">
        <v>44</v>
      </c>
      <c r="P266">
        <v>42</v>
      </c>
      <c r="Q266">
        <v>35</v>
      </c>
    </row>
    <row r="268" spans="1:32" x14ac:dyDescent="0.25">
      <c r="A268" t="s">
        <v>222</v>
      </c>
      <c r="J268">
        <v>2.25</v>
      </c>
      <c r="K268">
        <v>2.46</v>
      </c>
      <c r="L268">
        <v>2.2000000000000002</v>
      </c>
      <c r="M268">
        <v>2.4500000000000002</v>
      </c>
      <c r="N268">
        <v>2.63</v>
      </c>
      <c r="O268">
        <v>2.71</v>
      </c>
      <c r="P268">
        <v>2.63</v>
      </c>
      <c r="Q268">
        <v>2.4900000000000002</v>
      </c>
    </row>
    <row r="270" spans="1:32" x14ac:dyDescent="0.25">
      <c r="A270" t="s">
        <v>60</v>
      </c>
      <c r="J270">
        <v>34.4</v>
      </c>
      <c r="K270">
        <v>37.4</v>
      </c>
      <c r="L270">
        <v>33.1</v>
      </c>
      <c r="M270">
        <v>21.2</v>
      </c>
      <c r="N270">
        <v>19.8</v>
      </c>
      <c r="O270">
        <v>12.3</v>
      </c>
      <c r="P270">
        <v>15.5</v>
      </c>
      <c r="Q270">
        <v>30.8</v>
      </c>
    </row>
    <row r="271" spans="1:32" x14ac:dyDescent="0.25">
      <c r="A271" t="s">
        <v>104</v>
      </c>
      <c r="B271">
        <f t="shared" ref="B271:D271" si="307">B270</f>
        <v>0</v>
      </c>
      <c r="D271">
        <f t="shared" si="307"/>
        <v>0</v>
      </c>
      <c r="E271">
        <f t="shared" ref="E271:F271" si="308">E270</f>
        <v>0</v>
      </c>
      <c r="F271">
        <f t="shared" si="308"/>
        <v>0</v>
      </c>
      <c r="G271">
        <f t="shared" ref="G271:H271" si="309">G270</f>
        <v>0</v>
      </c>
      <c r="H271">
        <f t="shared" si="309"/>
        <v>0</v>
      </c>
      <c r="J271">
        <f t="shared" ref="J271:O271" si="310">J270</f>
        <v>34.4</v>
      </c>
      <c r="K271">
        <f t="shared" si="310"/>
        <v>37.4</v>
      </c>
      <c r="L271">
        <f t="shared" si="310"/>
        <v>33.1</v>
      </c>
      <c r="M271">
        <f t="shared" si="310"/>
        <v>21.2</v>
      </c>
      <c r="N271">
        <f t="shared" si="310"/>
        <v>19.8</v>
      </c>
      <c r="O271">
        <f t="shared" si="310"/>
        <v>12.3</v>
      </c>
      <c r="P271">
        <f t="shared" ref="P271:Q271" si="311">P270</f>
        <v>15.5</v>
      </c>
      <c r="Q271">
        <f t="shared" si="311"/>
        <v>30.8</v>
      </c>
      <c r="AF271">
        <f>AF270</f>
        <v>0</v>
      </c>
    </row>
    <row r="273" spans="1:32" x14ac:dyDescent="0.25">
      <c r="A273" t="s">
        <v>61</v>
      </c>
      <c r="B273">
        <v>172</v>
      </c>
      <c r="C273">
        <v>159</v>
      </c>
      <c r="D273">
        <v>178.4</v>
      </c>
      <c r="E273">
        <v>137</v>
      </c>
      <c r="F273">
        <v>161.1</v>
      </c>
      <c r="G273">
        <v>153.5</v>
      </c>
      <c r="H273">
        <v>103.7</v>
      </c>
      <c r="J273">
        <v>130.6</v>
      </c>
      <c r="K273">
        <v>105.5</v>
      </c>
      <c r="L273">
        <v>89.7</v>
      </c>
      <c r="M273">
        <v>59.8</v>
      </c>
      <c r="N273">
        <v>44.5</v>
      </c>
      <c r="O273">
        <v>39.9</v>
      </c>
      <c r="P273">
        <v>35.799999999999997</v>
      </c>
      <c r="Q273">
        <v>49</v>
      </c>
    </row>
    <row r="274" spans="1:32" x14ac:dyDescent="0.25">
      <c r="A274" t="s">
        <v>105</v>
      </c>
      <c r="B274">
        <f t="shared" ref="B274:D274" si="312">B273</f>
        <v>172</v>
      </c>
      <c r="D274">
        <f t="shared" si="312"/>
        <v>178.4</v>
      </c>
      <c r="E274">
        <f t="shared" ref="E274:F274" si="313">E273</f>
        <v>137</v>
      </c>
      <c r="F274">
        <f t="shared" si="313"/>
        <v>161.1</v>
      </c>
      <c r="G274">
        <f t="shared" ref="G274:H274" si="314">G273</f>
        <v>153.5</v>
      </c>
      <c r="H274">
        <f t="shared" si="314"/>
        <v>103.7</v>
      </c>
      <c r="J274">
        <f t="shared" ref="J274:O274" si="315">J273</f>
        <v>130.6</v>
      </c>
      <c r="K274">
        <f t="shared" si="315"/>
        <v>105.5</v>
      </c>
      <c r="L274">
        <f t="shared" si="315"/>
        <v>89.7</v>
      </c>
      <c r="M274">
        <f t="shared" si="315"/>
        <v>59.8</v>
      </c>
      <c r="N274">
        <f t="shared" si="315"/>
        <v>44.5</v>
      </c>
      <c r="O274">
        <f t="shared" si="315"/>
        <v>39.9</v>
      </c>
      <c r="P274">
        <f t="shared" ref="P274:Q274" si="316">P273</f>
        <v>35.799999999999997</v>
      </c>
      <c r="Q274">
        <f t="shared" si="316"/>
        <v>49</v>
      </c>
      <c r="AF274">
        <f>AF273</f>
        <v>0</v>
      </c>
    </row>
    <row r="275" spans="1:32" x14ac:dyDescent="0.25">
      <c r="A275" t="s">
        <v>212</v>
      </c>
    </row>
    <row r="276" spans="1:32" x14ac:dyDescent="0.25">
      <c r="A276" t="s">
        <v>301</v>
      </c>
    </row>
    <row r="278" spans="1:32" x14ac:dyDescent="0.25">
      <c r="A278" t="s">
        <v>62</v>
      </c>
      <c r="B278">
        <v>1288</v>
      </c>
      <c r="D278">
        <v>1476</v>
      </c>
      <c r="F278">
        <v>751</v>
      </c>
      <c r="G278">
        <v>1033</v>
      </c>
      <c r="H278">
        <v>1265</v>
      </c>
      <c r="J278">
        <v>896</v>
      </c>
      <c r="K278">
        <v>936</v>
      </c>
      <c r="L278">
        <v>934</v>
      </c>
      <c r="M278">
        <v>1818</v>
      </c>
      <c r="N278">
        <v>1394</v>
      </c>
      <c r="O278">
        <v>1890</v>
      </c>
      <c r="P278">
        <v>1825</v>
      </c>
      <c r="Q278">
        <v>500</v>
      </c>
      <c r="S278">
        <v>506</v>
      </c>
      <c r="T278">
        <v>540</v>
      </c>
      <c r="U278">
        <v>368</v>
      </c>
      <c r="V278">
        <v>289</v>
      </c>
      <c r="W278">
        <v>264</v>
      </c>
    </row>
    <row r="279" spans="1:32" x14ac:dyDescent="0.25">
      <c r="A279" t="s">
        <v>86</v>
      </c>
      <c r="B279">
        <f t="shared" ref="B279:D279" si="317">B278</f>
        <v>1288</v>
      </c>
      <c r="D279">
        <f t="shared" si="317"/>
        <v>1476</v>
      </c>
      <c r="E279">
        <f t="shared" ref="E279:F279" si="318">E278</f>
        <v>0</v>
      </c>
      <c r="F279">
        <f t="shared" si="318"/>
        <v>751</v>
      </c>
      <c r="G279">
        <f t="shared" ref="G279:H279" si="319">G278</f>
        <v>1033</v>
      </c>
      <c r="H279">
        <f t="shared" si="319"/>
        <v>1265</v>
      </c>
      <c r="J279">
        <f t="shared" ref="J279:O279" si="320">J278</f>
        <v>896</v>
      </c>
      <c r="K279">
        <f t="shared" si="320"/>
        <v>936</v>
      </c>
      <c r="L279">
        <f t="shared" si="320"/>
        <v>934</v>
      </c>
      <c r="M279">
        <f t="shared" si="320"/>
        <v>1818</v>
      </c>
      <c r="N279">
        <f t="shared" si="320"/>
        <v>1394</v>
      </c>
      <c r="O279">
        <f t="shared" si="320"/>
        <v>1890</v>
      </c>
      <c r="P279">
        <f t="shared" ref="P279:U279" si="321">P278</f>
        <v>1825</v>
      </c>
      <c r="Q279">
        <f t="shared" si="321"/>
        <v>500</v>
      </c>
      <c r="S279">
        <f t="shared" ref="S279" si="322">S278</f>
        <v>506</v>
      </c>
      <c r="T279">
        <f t="shared" ref="T279" si="323">T278</f>
        <v>540</v>
      </c>
      <c r="U279">
        <f t="shared" si="321"/>
        <v>368</v>
      </c>
      <c r="V279">
        <f t="shared" ref="V279:W279" si="324">V278</f>
        <v>289</v>
      </c>
      <c r="W279">
        <f t="shared" si="324"/>
        <v>264</v>
      </c>
      <c r="AF279">
        <f>AF278</f>
        <v>0</v>
      </c>
    </row>
    <row r="280" spans="1:32" x14ac:dyDescent="0.25">
      <c r="A280" t="s">
        <v>131</v>
      </c>
      <c r="B280">
        <f t="shared" ref="B280:D280" si="325">B278</f>
        <v>1288</v>
      </c>
      <c r="D280">
        <f t="shared" si="325"/>
        <v>1476</v>
      </c>
      <c r="E280">
        <f t="shared" ref="E280:F280" si="326">E278</f>
        <v>0</v>
      </c>
      <c r="F280">
        <f t="shared" si="326"/>
        <v>751</v>
      </c>
      <c r="G280">
        <f t="shared" ref="G280:H280" si="327">G278</f>
        <v>1033</v>
      </c>
      <c r="H280">
        <f t="shared" si="327"/>
        <v>1265</v>
      </c>
      <c r="J280">
        <f t="shared" ref="J280:O280" si="328">J278</f>
        <v>896</v>
      </c>
      <c r="K280">
        <f t="shared" si="328"/>
        <v>936</v>
      </c>
      <c r="L280">
        <f t="shared" si="328"/>
        <v>934</v>
      </c>
      <c r="M280">
        <f t="shared" si="328"/>
        <v>1818</v>
      </c>
      <c r="N280">
        <f t="shared" si="328"/>
        <v>1394</v>
      </c>
      <c r="O280">
        <f t="shared" si="328"/>
        <v>1890</v>
      </c>
      <c r="P280">
        <f t="shared" ref="P280:U280" si="329">P278</f>
        <v>1825</v>
      </c>
      <c r="Q280">
        <f t="shared" si="329"/>
        <v>500</v>
      </c>
      <c r="S280">
        <f t="shared" ref="S280" si="330">S278</f>
        <v>506</v>
      </c>
      <c r="T280">
        <f t="shared" ref="T280" si="331">T278</f>
        <v>540</v>
      </c>
      <c r="U280">
        <f t="shared" si="329"/>
        <v>368</v>
      </c>
      <c r="V280">
        <f t="shared" ref="V280:W280" si="332">V278</f>
        <v>289</v>
      </c>
      <c r="W280">
        <f t="shared" si="332"/>
        <v>264</v>
      </c>
      <c r="AF280">
        <f>AF278</f>
        <v>0</v>
      </c>
    </row>
    <row r="282" spans="1:32" x14ac:dyDescent="0.25">
      <c r="A282" t="s">
        <v>63</v>
      </c>
      <c r="B282">
        <v>13</v>
      </c>
      <c r="D282">
        <v>15.5</v>
      </c>
      <c r="F282">
        <v>13.1</v>
      </c>
      <c r="G282">
        <v>14.3</v>
      </c>
      <c r="H282">
        <v>17.7</v>
      </c>
      <c r="J282">
        <v>14.1</v>
      </c>
      <c r="K282">
        <v>13.7</v>
      </c>
      <c r="L282">
        <v>14.1</v>
      </c>
      <c r="M282">
        <v>15.6</v>
      </c>
      <c r="N282">
        <v>16.3</v>
      </c>
      <c r="O282">
        <v>16.399999999999999</v>
      </c>
      <c r="P282">
        <v>16.5</v>
      </c>
      <c r="Q282">
        <v>13.6</v>
      </c>
      <c r="S282">
        <v>12.6</v>
      </c>
      <c r="T282">
        <v>9.3000000000000007</v>
      </c>
      <c r="U282">
        <v>8.8000000000000007</v>
      </c>
      <c r="V282">
        <v>5.3</v>
      </c>
      <c r="W282">
        <v>3</v>
      </c>
    </row>
    <row r="283" spans="1:32" x14ac:dyDescent="0.25">
      <c r="A283" t="s">
        <v>87</v>
      </c>
      <c r="B283">
        <f t="shared" ref="B283:D283" si="333">B282</f>
        <v>13</v>
      </c>
      <c r="D283">
        <f t="shared" si="333"/>
        <v>15.5</v>
      </c>
      <c r="E283">
        <f t="shared" ref="E283:F283" si="334">E282</f>
        <v>0</v>
      </c>
      <c r="F283">
        <f t="shared" si="334"/>
        <v>13.1</v>
      </c>
      <c r="G283">
        <f t="shared" ref="G283:H283" si="335">G282</f>
        <v>14.3</v>
      </c>
      <c r="H283">
        <f t="shared" si="335"/>
        <v>17.7</v>
      </c>
      <c r="J283">
        <f t="shared" ref="J283:O283" si="336">J282</f>
        <v>14.1</v>
      </c>
      <c r="K283">
        <f t="shared" si="336"/>
        <v>13.7</v>
      </c>
      <c r="L283">
        <f t="shared" si="336"/>
        <v>14.1</v>
      </c>
      <c r="M283">
        <f t="shared" si="336"/>
        <v>15.6</v>
      </c>
      <c r="N283">
        <f t="shared" si="336"/>
        <v>16.3</v>
      </c>
      <c r="O283">
        <f t="shared" si="336"/>
        <v>16.399999999999999</v>
      </c>
      <c r="P283">
        <f t="shared" ref="P283:U283" si="337">P282</f>
        <v>16.5</v>
      </c>
      <c r="Q283">
        <f t="shared" si="337"/>
        <v>13.6</v>
      </c>
      <c r="S283">
        <f t="shared" ref="S283" si="338">S282</f>
        <v>12.6</v>
      </c>
      <c r="T283">
        <f t="shared" ref="T283" si="339">T282</f>
        <v>9.3000000000000007</v>
      </c>
      <c r="U283">
        <f t="shared" si="337"/>
        <v>8.8000000000000007</v>
      </c>
      <c r="V283">
        <f t="shared" ref="V283:W283" si="340">V282</f>
        <v>5.3</v>
      </c>
      <c r="W283">
        <f t="shared" si="340"/>
        <v>3</v>
      </c>
      <c r="AF283">
        <f>AF282</f>
        <v>0</v>
      </c>
    </row>
    <row r="284" spans="1:32" ht="18" x14ac:dyDescent="0.35">
      <c r="A284" t="s">
        <v>130</v>
      </c>
      <c r="B284">
        <f t="shared" ref="B284:D284" si="341">B282</f>
        <v>13</v>
      </c>
      <c r="D284">
        <f t="shared" si="341"/>
        <v>15.5</v>
      </c>
      <c r="E284">
        <f t="shared" ref="E284:F284" si="342">E282</f>
        <v>0</v>
      </c>
      <c r="F284">
        <f t="shared" si="342"/>
        <v>13.1</v>
      </c>
      <c r="G284">
        <f t="shared" ref="G284:H284" si="343">G282</f>
        <v>14.3</v>
      </c>
      <c r="H284">
        <f t="shared" si="343"/>
        <v>17.7</v>
      </c>
      <c r="J284">
        <f t="shared" ref="J284:O284" si="344">J282</f>
        <v>14.1</v>
      </c>
      <c r="K284">
        <f t="shared" si="344"/>
        <v>13.7</v>
      </c>
      <c r="L284">
        <f t="shared" si="344"/>
        <v>14.1</v>
      </c>
      <c r="M284">
        <f t="shared" si="344"/>
        <v>15.6</v>
      </c>
      <c r="N284">
        <f t="shared" si="344"/>
        <v>16.3</v>
      </c>
      <c r="O284">
        <f t="shared" si="344"/>
        <v>16.399999999999999</v>
      </c>
      <c r="P284">
        <f t="shared" ref="P284:U284" si="345">P282</f>
        <v>16.5</v>
      </c>
      <c r="Q284">
        <f t="shared" si="345"/>
        <v>13.6</v>
      </c>
      <c r="S284">
        <f t="shared" ref="S284" si="346">S282</f>
        <v>12.6</v>
      </c>
      <c r="T284">
        <f t="shared" ref="T284" si="347">T282</f>
        <v>9.3000000000000007</v>
      </c>
      <c r="U284">
        <f t="shared" si="345"/>
        <v>8.8000000000000007</v>
      </c>
      <c r="V284">
        <f t="shared" ref="V284:W284" si="348">V282</f>
        <v>5.3</v>
      </c>
      <c r="W284">
        <f t="shared" si="348"/>
        <v>3</v>
      </c>
      <c r="AF284">
        <f>AF282</f>
        <v>0</v>
      </c>
    </row>
    <row r="285" spans="1:32" x14ac:dyDescent="0.25">
      <c r="A285" t="s">
        <v>235</v>
      </c>
    </row>
    <row r="287" spans="1:32" x14ac:dyDescent="0.25">
      <c r="A287" t="s">
        <v>280</v>
      </c>
      <c r="J287">
        <v>1.41</v>
      </c>
    </row>
    <row r="289" spans="1:32" x14ac:dyDescent="0.25">
      <c r="A289" t="s">
        <v>64</v>
      </c>
      <c r="B289">
        <v>3.13</v>
      </c>
      <c r="D289">
        <v>3.1</v>
      </c>
      <c r="F289">
        <v>3.2</v>
      </c>
      <c r="G289">
        <v>3</v>
      </c>
      <c r="H289">
        <v>2.7</v>
      </c>
      <c r="J289">
        <v>3.7</v>
      </c>
      <c r="K289">
        <v>4.4000000000000004</v>
      </c>
      <c r="L289">
        <v>4.5</v>
      </c>
      <c r="M289">
        <v>3.9</v>
      </c>
      <c r="N289">
        <v>4.7</v>
      </c>
      <c r="O289">
        <v>4.0999999999999996</v>
      </c>
      <c r="P289">
        <v>4.2</v>
      </c>
    </row>
    <row r="290" spans="1:32" x14ac:dyDescent="0.25">
      <c r="A290" t="s">
        <v>146</v>
      </c>
      <c r="B290" s="4">
        <f>B289/1.536</f>
        <v>2.0377604166666665</v>
      </c>
      <c r="D290" s="4">
        <f>D289/1.536</f>
        <v>2.0182291666666665</v>
      </c>
      <c r="E290" s="4">
        <f>E289/1.536</f>
        <v>0</v>
      </c>
      <c r="F290" s="4">
        <f>F289/1.536</f>
        <v>2.0833333333333335</v>
      </c>
      <c r="G290" s="4">
        <f>G289/1.536</f>
        <v>1.953125</v>
      </c>
      <c r="H290" s="4">
        <f>H289/1.536</f>
        <v>1.7578125</v>
      </c>
      <c r="I290" s="4"/>
      <c r="J290" s="4">
        <f>J289/1.536</f>
        <v>2.4088541666666665</v>
      </c>
      <c r="K290" s="4">
        <f t="shared" ref="K290:P290" si="349">K289/1.536</f>
        <v>2.8645833333333335</v>
      </c>
      <c r="L290" s="4">
        <f t="shared" si="349"/>
        <v>2.9296875</v>
      </c>
      <c r="M290" s="4">
        <f t="shared" si="349"/>
        <v>2.5390625</v>
      </c>
      <c r="N290" s="4">
        <f t="shared" si="349"/>
        <v>3.0598958333333335</v>
      </c>
      <c r="O290" s="4">
        <f t="shared" si="349"/>
        <v>2.669270833333333</v>
      </c>
      <c r="P290" s="4">
        <f t="shared" si="349"/>
        <v>2.734375</v>
      </c>
      <c r="AF290" s="4">
        <f>AF289/1.536</f>
        <v>0</v>
      </c>
    </row>
    <row r="292" spans="1:32" x14ac:dyDescent="0.25">
      <c r="A292" t="s">
        <v>281</v>
      </c>
      <c r="J292">
        <v>77.87</v>
      </c>
    </row>
    <row r="294" spans="1:32" x14ac:dyDescent="0.25">
      <c r="A294" t="s">
        <v>65</v>
      </c>
      <c r="B294">
        <v>10.11</v>
      </c>
      <c r="D294">
        <v>11.3</v>
      </c>
      <c r="F294">
        <v>11.06</v>
      </c>
      <c r="G294">
        <v>11.55</v>
      </c>
      <c r="H294">
        <v>9.8000000000000007</v>
      </c>
      <c r="J294">
        <v>10.73</v>
      </c>
      <c r="K294">
        <v>11.42</v>
      </c>
      <c r="L294">
        <v>10.5</v>
      </c>
      <c r="M294">
        <v>9.39</v>
      </c>
      <c r="N294">
        <v>10.81</v>
      </c>
      <c r="O294">
        <v>11.4</v>
      </c>
      <c r="P294">
        <v>11.82</v>
      </c>
      <c r="Y294">
        <v>15.4</v>
      </c>
    </row>
    <row r="295" spans="1:32" x14ac:dyDescent="0.25">
      <c r="A295" t="s">
        <v>147</v>
      </c>
      <c r="B295" s="4">
        <f>B294/12.87</f>
        <v>0.78554778554778559</v>
      </c>
      <c r="D295" s="4">
        <f>D294/12.87</f>
        <v>0.87801087801087807</v>
      </c>
      <c r="E295" s="4">
        <f>E294/12.87</f>
        <v>0</v>
      </c>
      <c r="F295" s="4">
        <f>F294/12.87</f>
        <v>0.8593628593628595</v>
      </c>
      <c r="G295" s="4">
        <f>G294/12.87</f>
        <v>0.89743589743589758</v>
      </c>
      <c r="H295" s="4">
        <f>H294/12.87</f>
        <v>0.76146076146076158</v>
      </c>
      <c r="I295" s="4"/>
      <c r="J295" s="4">
        <f>J294/12.87</f>
        <v>0.83372183372183384</v>
      </c>
      <c r="K295" s="4">
        <f t="shared" ref="K295:P295" si="350">K294/12.87</f>
        <v>0.88733488733488741</v>
      </c>
      <c r="L295" s="4">
        <f t="shared" si="350"/>
        <v>0.81585081585081587</v>
      </c>
      <c r="M295" s="4">
        <f t="shared" si="350"/>
        <v>0.72960372960372966</v>
      </c>
      <c r="N295" s="4">
        <f t="shared" si="350"/>
        <v>0.83993783993783999</v>
      </c>
      <c r="O295" s="4">
        <f t="shared" si="350"/>
        <v>0.88578088578088587</v>
      </c>
      <c r="P295" s="4">
        <f t="shared" si="350"/>
        <v>0.91841491841491851</v>
      </c>
      <c r="Y295" s="4">
        <f>Y294/12.87</f>
        <v>1.1965811965811968</v>
      </c>
      <c r="AF295" s="4">
        <f>AF294/12.87</f>
        <v>0</v>
      </c>
    </row>
    <row r="297" spans="1:32" x14ac:dyDescent="0.25">
      <c r="A297" t="s">
        <v>440</v>
      </c>
      <c r="B297">
        <f>B289/B294</f>
        <v>0.3095944609297725</v>
      </c>
      <c r="D297">
        <f>D289/D294</f>
        <v>0.27433628318584069</v>
      </c>
      <c r="F297">
        <f t="shared" ref="F297:P297" si="351">F289/F294</f>
        <v>0.28933092224231466</v>
      </c>
      <c r="G297">
        <f t="shared" si="351"/>
        <v>0.25974025974025972</v>
      </c>
      <c r="H297">
        <f t="shared" si="351"/>
        <v>0.27551020408163263</v>
      </c>
      <c r="J297">
        <f t="shared" si="351"/>
        <v>0.34482758620689657</v>
      </c>
      <c r="K297">
        <f t="shared" si="351"/>
        <v>0.38528896672504381</v>
      </c>
      <c r="L297">
        <f t="shared" si="351"/>
        <v>0.42857142857142855</v>
      </c>
      <c r="M297">
        <f t="shared" si="351"/>
        <v>0.4153354632587859</v>
      </c>
      <c r="N297">
        <f t="shared" si="351"/>
        <v>0.43478260869565216</v>
      </c>
      <c r="O297">
        <f t="shared" si="351"/>
        <v>0.3596491228070175</v>
      </c>
      <c r="P297">
        <f t="shared" si="351"/>
        <v>0.35532994923857869</v>
      </c>
    </row>
    <row r="299" spans="1:32" x14ac:dyDescent="0.25">
      <c r="A299" t="s">
        <v>66</v>
      </c>
      <c r="B299">
        <v>4.08</v>
      </c>
      <c r="C299">
        <v>3.79</v>
      </c>
      <c r="D299">
        <v>4.3899999999999997</v>
      </c>
      <c r="E299">
        <v>4.04</v>
      </c>
      <c r="F299">
        <v>3.75</v>
      </c>
      <c r="G299">
        <v>4.9400000000000004</v>
      </c>
      <c r="H299">
        <v>3.3</v>
      </c>
      <c r="J299">
        <v>4.75</v>
      </c>
      <c r="K299">
        <v>4.5199999999999996</v>
      </c>
      <c r="L299">
        <v>3.74</v>
      </c>
      <c r="M299">
        <v>4.59</v>
      </c>
      <c r="N299">
        <v>4.09</v>
      </c>
      <c r="O299">
        <v>3.12</v>
      </c>
      <c r="P299">
        <v>3.11</v>
      </c>
      <c r="Y299">
        <v>2.38</v>
      </c>
      <c r="AE299">
        <v>2.46</v>
      </c>
    </row>
    <row r="300" spans="1:32" x14ac:dyDescent="0.25">
      <c r="A300" t="s">
        <v>148</v>
      </c>
      <c r="B300">
        <f>B299</f>
        <v>4.08</v>
      </c>
      <c r="D300">
        <f>D299</f>
        <v>4.3899999999999997</v>
      </c>
      <c r="E300">
        <f>E299</f>
        <v>4.04</v>
      </c>
      <c r="F300">
        <f>F299</f>
        <v>3.75</v>
      </c>
      <c r="G300">
        <f>G299</f>
        <v>4.9400000000000004</v>
      </c>
      <c r="H300">
        <f>H299</f>
        <v>3.3</v>
      </c>
      <c r="J300">
        <f>J299</f>
        <v>4.75</v>
      </c>
      <c r="K300">
        <f t="shared" ref="K300:P300" si="352">K299</f>
        <v>4.5199999999999996</v>
      </c>
      <c r="L300">
        <f t="shared" si="352"/>
        <v>3.74</v>
      </c>
      <c r="M300">
        <f t="shared" si="352"/>
        <v>4.59</v>
      </c>
      <c r="N300">
        <f t="shared" si="352"/>
        <v>4.09</v>
      </c>
      <c r="O300">
        <f t="shared" si="352"/>
        <v>3.12</v>
      </c>
      <c r="P300">
        <f t="shared" si="352"/>
        <v>3.11</v>
      </c>
      <c r="AE300">
        <f>AE299</f>
        <v>2.46</v>
      </c>
      <c r="AF300">
        <f>AF299</f>
        <v>0</v>
      </c>
    </row>
    <row r="302" spans="1:32" x14ac:dyDescent="0.25">
      <c r="A302" t="s">
        <v>282</v>
      </c>
      <c r="J302">
        <v>120</v>
      </c>
    </row>
    <row r="304" spans="1:32" x14ac:dyDescent="0.25">
      <c r="A304" t="s">
        <v>283</v>
      </c>
      <c r="K304">
        <v>3</v>
      </c>
      <c r="L304">
        <v>3</v>
      </c>
      <c r="M304">
        <v>3</v>
      </c>
      <c r="N304">
        <v>3</v>
      </c>
      <c r="O304">
        <v>3</v>
      </c>
      <c r="P304">
        <v>3</v>
      </c>
    </row>
    <row r="306" spans="1:32" x14ac:dyDescent="0.25">
      <c r="A306" t="s">
        <v>284</v>
      </c>
      <c r="K306">
        <v>3</v>
      </c>
      <c r="L306">
        <v>3</v>
      </c>
      <c r="M306">
        <v>3</v>
      </c>
      <c r="N306">
        <v>3</v>
      </c>
      <c r="O306">
        <v>3</v>
      </c>
      <c r="P306">
        <v>3</v>
      </c>
    </row>
    <row r="308" spans="1:32" x14ac:dyDescent="0.25">
      <c r="A308" t="s">
        <v>67</v>
      </c>
      <c r="G308">
        <v>8.3000000000000007</v>
      </c>
      <c r="H308">
        <v>7.8</v>
      </c>
      <c r="J308">
        <v>8.1999999999999993</v>
      </c>
      <c r="K308">
        <v>7.6</v>
      </c>
      <c r="L308">
        <v>5.5</v>
      </c>
      <c r="M308">
        <v>5</v>
      </c>
      <c r="N308">
        <v>5.5</v>
      </c>
      <c r="O308">
        <v>6</v>
      </c>
      <c r="P308">
        <v>4.8</v>
      </c>
      <c r="Q308">
        <v>5.8</v>
      </c>
    </row>
    <row r="309" spans="1:32" x14ac:dyDescent="0.25">
      <c r="A309" t="s">
        <v>143</v>
      </c>
      <c r="B309" s="3">
        <f t="shared" ref="B309:D309" si="353">B308/0.02714</f>
        <v>0</v>
      </c>
      <c r="D309" s="3">
        <f t="shared" si="353"/>
        <v>0</v>
      </c>
      <c r="E309" s="3">
        <f t="shared" ref="E309:F309" si="354">E308/0.02714</f>
        <v>0</v>
      </c>
      <c r="F309" s="3">
        <f t="shared" si="354"/>
        <v>0</v>
      </c>
      <c r="G309" s="3">
        <f t="shared" ref="G309:H309" si="355">G308/0.02714</f>
        <v>305.82166543846722</v>
      </c>
      <c r="H309" s="3">
        <f t="shared" si="355"/>
        <v>287.39867354458363</v>
      </c>
      <c r="I309" s="3"/>
      <c r="J309" s="3">
        <f t="shared" ref="J309:O309" si="356">J308/0.02714</f>
        <v>302.13706705969048</v>
      </c>
      <c r="K309" s="3">
        <f t="shared" si="356"/>
        <v>280.02947678703021</v>
      </c>
      <c r="L309" s="3">
        <f t="shared" si="356"/>
        <v>202.65291083271921</v>
      </c>
      <c r="M309" s="3">
        <f t="shared" si="356"/>
        <v>184.22991893883565</v>
      </c>
      <c r="N309" s="3">
        <f t="shared" si="356"/>
        <v>202.65291083271921</v>
      </c>
      <c r="O309" s="3">
        <f t="shared" si="356"/>
        <v>221.07590272660281</v>
      </c>
      <c r="P309" s="3">
        <f t="shared" ref="P309:Q309" si="357">P308/0.02714</f>
        <v>176.86072218128223</v>
      </c>
      <c r="Q309" s="3">
        <f t="shared" si="357"/>
        <v>213.70670596904935</v>
      </c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>
        <f>AF308/0.02714</f>
        <v>0</v>
      </c>
    </row>
    <row r="311" spans="1:32" x14ac:dyDescent="0.25">
      <c r="A311" t="s">
        <v>74</v>
      </c>
      <c r="J311">
        <v>17.71</v>
      </c>
      <c r="K311">
        <v>15.92</v>
      </c>
      <c r="L311">
        <v>16.13</v>
      </c>
      <c r="M311">
        <v>16.13</v>
      </c>
      <c r="N311">
        <v>16.57</v>
      </c>
      <c r="O311">
        <v>12.1</v>
      </c>
      <c r="P311">
        <v>16.03</v>
      </c>
      <c r="Q311">
        <v>15.54</v>
      </c>
    </row>
    <row r="312" spans="1:32" x14ac:dyDescent="0.25">
      <c r="A312" t="s">
        <v>102</v>
      </c>
      <c r="B312" s="3">
        <f t="shared" ref="B312:D312" si="358">B311/0.0347</f>
        <v>0</v>
      </c>
      <c r="D312" s="3">
        <f t="shared" si="358"/>
        <v>0</v>
      </c>
      <c r="E312" s="3">
        <f t="shared" ref="E312:F312" si="359">E311/0.0347</f>
        <v>0</v>
      </c>
      <c r="F312" s="3">
        <f t="shared" si="359"/>
        <v>0</v>
      </c>
      <c r="G312" s="3">
        <f t="shared" ref="G312:H312" si="360">G311/0.0347</f>
        <v>0</v>
      </c>
      <c r="H312" s="3">
        <f t="shared" si="360"/>
        <v>0</v>
      </c>
      <c r="I312" s="3"/>
      <c r="J312" s="3">
        <f t="shared" ref="J312:O312" si="361">J311/0.0347</f>
        <v>510.37463976945247</v>
      </c>
      <c r="K312" s="3">
        <f t="shared" si="361"/>
        <v>458.7896253602305</v>
      </c>
      <c r="L312" s="3">
        <f t="shared" si="361"/>
        <v>464.84149855907776</v>
      </c>
      <c r="M312" s="3">
        <f t="shared" si="361"/>
        <v>464.84149855907776</v>
      </c>
      <c r="N312" s="3">
        <f t="shared" si="361"/>
        <v>477.52161383285301</v>
      </c>
      <c r="O312" s="3">
        <f t="shared" si="361"/>
        <v>348.70317002881842</v>
      </c>
      <c r="P312" s="3">
        <f t="shared" ref="P312:Q312" si="362">P311/0.0347</f>
        <v>461.95965417867438</v>
      </c>
      <c r="Q312" s="3">
        <f t="shared" si="362"/>
        <v>447.83861671469737</v>
      </c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>
        <f>AF311/0.0347</f>
        <v>0</v>
      </c>
    </row>
    <row r="313" spans="1:32" x14ac:dyDescent="0.25">
      <c r="A313" t="s">
        <v>144</v>
      </c>
      <c r="B313" s="3">
        <f t="shared" ref="B313:D313" si="363">B312</f>
        <v>0</v>
      </c>
      <c r="D313" s="3">
        <f t="shared" si="363"/>
        <v>0</v>
      </c>
      <c r="E313" s="3">
        <f t="shared" ref="E313:F313" si="364">E312</f>
        <v>0</v>
      </c>
      <c r="F313" s="3">
        <f t="shared" si="364"/>
        <v>0</v>
      </c>
      <c r="G313" s="3">
        <f t="shared" ref="G313:H313" si="365">G312</f>
        <v>0</v>
      </c>
      <c r="H313" s="3">
        <f t="shared" si="365"/>
        <v>0</v>
      </c>
      <c r="I313" s="3"/>
      <c r="J313" s="3">
        <f t="shared" ref="J313:O313" si="366">J312</f>
        <v>510.37463976945247</v>
      </c>
      <c r="K313" s="3">
        <f t="shared" si="366"/>
        <v>458.7896253602305</v>
      </c>
      <c r="L313" s="3">
        <f t="shared" si="366"/>
        <v>464.84149855907776</v>
      </c>
      <c r="M313" s="3">
        <f t="shared" si="366"/>
        <v>464.84149855907776</v>
      </c>
      <c r="N313" s="3">
        <f t="shared" si="366"/>
        <v>477.52161383285301</v>
      </c>
      <c r="O313" s="3">
        <f t="shared" si="366"/>
        <v>348.70317002881842</v>
      </c>
      <c r="P313" s="3">
        <f t="shared" ref="P313:Q313" si="367">P312</f>
        <v>461.95965417867438</v>
      </c>
      <c r="Q313" s="3">
        <f t="shared" si="367"/>
        <v>447.83861671469737</v>
      </c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>
        <f>AF312</f>
        <v>0</v>
      </c>
    </row>
    <row r="315" spans="1:32" x14ac:dyDescent="0.25">
      <c r="A315" t="s">
        <v>68</v>
      </c>
      <c r="B315">
        <v>52.7</v>
      </c>
      <c r="D315">
        <v>58.4</v>
      </c>
      <c r="J315">
        <v>63.8</v>
      </c>
      <c r="K315">
        <v>48.7</v>
      </c>
      <c r="L315">
        <v>40.6</v>
      </c>
      <c r="M315">
        <v>41.9</v>
      </c>
      <c r="N315">
        <v>47.8</v>
      </c>
      <c r="O315">
        <v>33.1</v>
      </c>
      <c r="P315">
        <v>34.799999999999997</v>
      </c>
      <c r="Q315">
        <v>36.200000000000003</v>
      </c>
    </row>
    <row r="316" spans="1:32" x14ac:dyDescent="0.25">
      <c r="A316" t="s">
        <v>101</v>
      </c>
      <c r="B316">
        <f t="shared" ref="B316:D316" si="368">B315</f>
        <v>52.7</v>
      </c>
      <c r="D316">
        <f t="shared" si="368"/>
        <v>58.4</v>
      </c>
      <c r="E316">
        <f t="shared" ref="E316:F316" si="369">E315</f>
        <v>0</v>
      </c>
      <c r="F316">
        <f t="shared" si="369"/>
        <v>0</v>
      </c>
      <c r="G316">
        <f t="shared" ref="G316:H316" si="370">G315</f>
        <v>0</v>
      </c>
      <c r="H316">
        <f t="shared" si="370"/>
        <v>0</v>
      </c>
      <c r="J316">
        <f t="shared" ref="J316:O316" si="371">J315</f>
        <v>63.8</v>
      </c>
      <c r="K316">
        <f t="shared" si="371"/>
        <v>48.7</v>
      </c>
      <c r="L316">
        <f t="shared" si="371"/>
        <v>40.6</v>
      </c>
      <c r="M316">
        <f t="shared" si="371"/>
        <v>41.9</v>
      </c>
      <c r="N316">
        <f t="shared" si="371"/>
        <v>47.8</v>
      </c>
      <c r="O316">
        <f t="shared" si="371"/>
        <v>33.1</v>
      </c>
      <c r="P316">
        <f t="shared" ref="P316:Q316" si="372">P315</f>
        <v>34.799999999999997</v>
      </c>
      <c r="Q316">
        <f t="shared" si="372"/>
        <v>36.200000000000003</v>
      </c>
      <c r="AF316">
        <f>AF315</f>
        <v>0</v>
      </c>
    </row>
    <row r="317" spans="1:32" x14ac:dyDescent="0.25">
      <c r="A317" t="s">
        <v>120</v>
      </c>
    </row>
    <row r="319" spans="1:32" x14ac:dyDescent="0.25">
      <c r="A319" t="s">
        <v>224</v>
      </c>
      <c r="J319">
        <v>27.8</v>
      </c>
      <c r="K319">
        <v>32.700000000000003</v>
      </c>
      <c r="L319">
        <v>39.700000000000003</v>
      </c>
      <c r="M319">
        <v>38.5</v>
      </c>
      <c r="N319">
        <v>34.700000000000003</v>
      </c>
      <c r="O319">
        <v>36.6</v>
      </c>
      <c r="P319">
        <v>46.1</v>
      </c>
      <c r="Q319">
        <v>42.9</v>
      </c>
    </row>
    <row r="321" spans="1:32" x14ac:dyDescent="0.25">
      <c r="A321" t="s">
        <v>69</v>
      </c>
      <c r="J321">
        <v>409</v>
      </c>
      <c r="K321">
        <v>329</v>
      </c>
      <c r="L321">
        <v>404</v>
      </c>
      <c r="M321">
        <v>332</v>
      </c>
      <c r="N321">
        <v>338</v>
      </c>
      <c r="O321">
        <v>376</v>
      </c>
      <c r="P321">
        <v>353</v>
      </c>
      <c r="Q321">
        <v>330</v>
      </c>
    </row>
    <row r="322" spans="1:32" x14ac:dyDescent="0.25">
      <c r="A322" t="s">
        <v>100</v>
      </c>
      <c r="B322" s="2">
        <f t="shared" ref="B322:D322" si="373">B321/27.6</f>
        <v>0</v>
      </c>
      <c r="D322" s="2">
        <f t="shared" si="373"/>
        <v>0</v>
      </c>
      <c r="E322" s="2">
        <f t="shared" ref="E322:F322" si="374">E321/27.6</f>
        <v>0</v>
      </c>
      <c r="F322" s="2">
        <f t="shared" si="374"/>
        <v>0</v>
      </c>
      <c r="G322" s="2">
        <f t="shared" ref="G322:H322" si="375">G321/27.6</f>
        <v>0</v>
      </c>
      <c r="H322" s="2">
        <f t="shared" si="375"/>
        <v>0</v>
      </c>
      <c r="I322" s="2"/>
      <c r="J322" s="2">
        <f t="shared" ref="J322:O322" si="376">J321/27.6</f>
        <v>14.818840579710145</v>
      </c>
      <c r="K322" s="2">
        <f t="shared" si="376"/>
        <v>11.920289855072463</v>
      </c>
      <c r="L322" s="2">
        <f t="shared" si="376"/>
        <v>14.637681159420289</v>
      </c>
      <c r="M322" s="2">
        <f t="shared" si="376"/>
        <v>12.028985507246377</v>
      </c>
      <c r="N322" s="2">
        <f t="shared" si="376"/>
        <v>12.246376811594203</v>
      </c>
      <c r="O322" s="2">
        <f t="shared" si="376"/>
        <v>13.623188405797102</v>
      </c>
      <c r="P322" s="2">
        <f t="shared" ref="P322:Q322" si="377">P321/27.6</f>
        <v>12.789855072463768</v>
      </c>
      <c r="Q322" s="2">
        <f t="shared" si="377"/>
        <v>11.956521739130434</v>
      </c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>
        <f>AF321/27.6</f>
        <v>0</v>
      </c>
    </row>
    <row r="323" spans="1:32" x14ac:dyDescent="0.25">
      <c r="A323" t="s">
        <v>142</v>
      </c>
      <c r="B323" s="2">
        <f t="shared" ref="B323:D323" si="378">B322</f>
        <v>0</v>
      </c>
      <c r="D323" s="2">
        <f t="shared" si="378"/>
        <v>0</v>
      </c>
      <c r="E323" s="2">
        <f t="shared" ref="E323:F323" si="379">E322</f>
        <v>0</v>
      </c>
      <c r="F323" s="2">
        <f t="shared" si="379"/>
        <v>0</v>
      </c>
      <c r="G323" s="2">
        <f t="shared" ref="G323:H323" si="380">G322</f>
        <v>0</v>
      </c>
      <c r="H323" s="2">
        <f t="shared" si="380"/>
        <v>0</v>
      </c>
      <c r="I323" s="2"/>
      <c r="J323" s="2">
        <f t="shared" ref="J323:O323" si="381">J322</f>
        <v>14.818840579710145</v>
      </c>
      <c r="K323" s="2">
        <f t="shared" si="381"/>
        <v>11.920289855072463</v>
      </c>
      <c r="L323" s="2">
        <f t="shared" si="381"/>
        <v>14.637681159420289</v>
      </c>
      <c r="M323" s="2">
        <f t="shared" si="381"/>
        <v>12.028985507246377</v>
      </c>
      <c r="N323" s="2">
        <f t="shared" si="381"/>
        <v>12.246376811594203</v>
      </c>
      <c r="O323" s="2">
        <f t="shared" si="381"/>
        <v>13.623188405797102</v>
      </c>
      <c r="P323" s="2">
        <f t="shared" ref="P323:Q323" si="382">P322</f>
        <v>12.789855072463768</v>
      </c>
      <c r="Q323" s="2">
        <f t="shared" si="382"/>
        <v>11.956521739130434</v>
      </c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>
        <f>AF322</f>
        <v>0</v>
      </c>
    </row>
    <row r="325" spans="1:32" x14ac:dyDescent="0.25">
      <c r="A325" t="s">
        <v>285</v>
      </c>
      <c r="J325">
        <v>7.3</v>
      </c>
    </row>
    <row r="327" spans="1:32" x14ac:dyDescent="0.25">
      <c r="A327" t="s">
        <v>70</v>
      </c>
      <c r="B327">
        <v>55.7</v>
      </c>
      <c r="D327">
        <v>71</v>
      </c>
      <c r="F327">
        <v>69</v>
      </c>
      <c r="G327">
        <v>70</v>
      </c>
      <c r="H327">
        <v>87</v>
      </c>
      <c r="J327">
        <v>79</v>
      </c>
      <c r="K327">
        <v>62</v>
      </c>
      <c r="L327">
        <v>61</v>
      </c>
      <c r="M327">
        <v>60</v>
      </c>
      <c r="N327">
        <v>53</v>
      </c>
      <c r="O327">
        <v>56</v>
      </c>
      <c r="P327">
        <v>51</v>
      </c>
      <c r="Q327">
        <v>63</v>
      </c>
      <c r="R327">
        <v>62</v>
      </c>
      <c r="S327">
        <v>45</v>
      </c>
      <c r="T327">
        <v>45</v>
      </c>
      <c r="U327">
        <v>28</v>
      </c>
      <c r="V327">
        <v>29</v>
      </c>
      <c r="W327">
        <v>29</v>
      </c>
    </row>
    <row r="328" spans="1:32" x14ac:dyDescent="0.25">
      <c r="A328" t="s">
        <v>81</v>
      </c>
      <c r="B328">
        <f t="shared" ref="B328:D328" si="383">B327</f>
        <v>55.7</v>
      </c>
      <c r="D328">
        <f t="shared" si="383"/>
        <v>71</v>
      </c>
      <c r="E328">
        <f t="shared" ref="E328:F328" si="384">E327</f>
        <v>0</v>
      </c>
      <c r="F328">
        <f t="shared" si="384"/>
        <v>69</v>
      </c>
      <c r="G328">
        <f t="shared" ref="G328:H328" si="385">G327</f>
        <v>70</v>
      </c>
      <c r="H328">
        <f t="shared" si="385"/>
        <v>87</v>
      </c>
      <c r="J328">
        <f t="shared" ref="J328:O328" si="386">J327</f>
        <v>79</v>
      </c>
      <c r="K328">
        <f t="shared" si="386"/>
        <v>62</v>
      </c>
      <c r="L328">
        <f t="shared" si="386"/>
        <v>61</v>
      </c>
      <c r="M328">
        <f t="shared" si="386"/>
        <v>60</v>
      </c>
      <c r="N328">
        <f t="shared" si="386"/>
        <v>53</v>
      </c>
      <c r="O328">
        <f t="shared" si="386"/>
        <v>56</v>
      </c>
      <c r="P328">
        <f t="shared" ref="P328:U328" si="387">P327</f>
        <v>51</v>
      </c>
      <c r="Q328">
        <f t="shared" si="387"/>
        <v>63</v>
      </c>
      <c r="R328">
        <f t="shared" ref="R328" si="388">R327</f>
        <v>62</v>
      </c>
      <c r="S328">
        <f t="shared" ref="S328" si="389">S327</f>
        <v>45</v>
      </c>
      <c r="T328">
        <f t="shared" ref="T328" si="390">T327</f>
        <v>45</v>
      </c>
      <c r="U328">
        <f t="shared" si="387"/>
        <v>28</v>
      </c>
      <c r="V328">
        <f t="shared" ref="V328:W328" si="391">V327</f>
        <v>29</v>
      </c>
      <c r="W328">
        <f t="shared" si="391"/>
        <v>29</v>
      </c>
      <c r="AF328">
        <f>AF327</f>
        <v>0</v>
      </c>
    </row>
    <row r="329" spans="1:32" x14ac:dyDescent="0.25">
      <c r="A329" t="s">
        <v>133</v>
      </c>
      <c r="B329">
        <f t="shared" ref="B329:D329" si="392">B327</f>
        <v>55.7</v>
      </c>
      <c r="D329">
        <f t="shared" si="392"/>
        <v>71</v>
      </c>
      <c r="E329">
        <f t="shared" ref="E329:F329" si="393">E327</f>
        <v>0</v>
      </c>
      <c r="F329">
        <f t="shared" si="393"/>
        <v>69</v>
      </c>
      <c r="G329">
        <f t="shared" ref="G329:H329" si="394">G327</f>
        <v>70</v>
      </c>
      <c r="H329">
        <f t="shared" si="394"/>
        <v>87</v>
      </c>
      <c r="J329">
        <f t="shared" ref="J329:O329" si="395">J327</f>
        <v>79</v>
      </c>
      <c r="K329">
        <f t="shared" si="395"/>
        <v>62</v>
      </c>
      <c r="L329">
        <f t="shared" si="395"/>
        <v>61</v>
      </c>
      <c r="M329">
        <f t="shared" si="395"/>
        <v>60</v>
      </c>
      <c r="N329">
        <f t="shared" si="395"/>
        <v>53</v>
      </c>
      <c r="O329">
        <f t="shared" si="395"/>
        <v>56</v>
      </c>
      <c r="P329">
        <f t="shared" ref="P329:U329" si="396">P327</f>
        <v>51</v>
      </c>
      <c r="Q329">
        <f t="shared" si="396"/>
        <v>63</v>
      </c>
      <c r="R329">
        <f t="shared" ref="R329" si="397">R327</f>
        <v>62</v>
      </c>
      <c r="S329">
        <f t="shared" ref="S329" si="398">S327</f>
        <v>45</v>
      </c>
      <c r="T329">
        <f t="shared" ref="T329" si="399">T327</f>
        <v>45</v>
      </c>
      <c r="U329">
        <f t="shared" si="396"/>
        <v>28</v>
      </c>
      <c r="V329">
        <f t="shared" ref="V329:W329" si="400">V327</f>
        <v>29</v>
      </c>
      <c r="W329">
        <f t="shared" si="400"/>
        <v>29</v>
      </c>
      <c r="AF329">
        <f>AF327</f>
        <v>0</v>
      </c>
    </row>
    <row r="331" spans="1:32" x14ac:dyDescent="0.25">
      <c r="A331" t="s">
        <v>327</v>
      </c>
      <c r="G331">
        <v>0</v>
      </c>
      <c r="H331">
        <v>0.15</v>
      </c>
    </row>
    <row r="333" spans="1:32" x14ac:dyDescent="0.25">
      <c r="A333" t="s">
        <v>404</v>
      </c>
      <c r="B333">
        <v>107</v>
      </c>
      <c r="D333">
        <v>97.1</v>
      </c>
      <c r="E333">
        <v>133</v>
      </c>
      <c r="F333">
        <v>95.1</v>
      </c>
      <c r="G333">
        <v>94.5</v>
      </c>
      <c r="H333">
        <v>126</v>
      </c>
      <c r="K333">
        <v>151.69999999999999</v>
      </c>
    </row>
    <row r="334" spans="1:32" x14ac:dyDescent="0.25">
      <c r="A334" t="s">
        <v>210</v>
      </c>
      <c r="K334">
        <f>K333</f>
        <v>151.69999999999999</v>
      </c>
    </row>
    <row r="335" spans="1:32" x14ac:dyDescent="0.25">
      <c r="A335" t="s">
        <v>234</v>
      </c>
    </row>
    <row r="337" spans="1:32" x14ac:dyDescent="0.25">
      <c r="A337" t="s">
        <v>286</v>
      </c>
      <c r="K337" t="s">
        <v>211</v>
      </c>
    </row>
    <row r="339" spans="1:32" x14ac:dyDescent="0.25">
      <c r="A339" t="s">
        <v>225</v>
      </c>
      <c r="K339">
        <v>0.7</v>
      </c>
    </row>
    <row r="341" spans="1:32" x14ac:dyDescent="0.25">
      <c r="A341" t="s">
        <v>287</v>
      </c>
      <c r="K341">
        <v>1.5</v>
      </c>
    </row>
    <row r="343" spans="1:32" x14ac:dyDescent="0.25">
      <c r="A343" t="s">
        <v>71</v>
      </c>
      <c r="B343">
        <v>0.55000000000000004</v>
      </c>
      <c r="D343">
        <v>0.73</v>
      </c>
      <c r="F343">
        <v>0.44</v>
      </c>
      <c r="G343">
        <v>0.56000000000000005</v>
      </c>
      <c r="H343">
        <v>0.6</v>
      </c>
      <c r="J343">
        <v>0.63</v>
      </c>
      <c r="K343">
        <v>0.67</v>
      </c>
      <c r="L343">
        <v>0.48</v>
      </c>
      <c r="M343">
        <v>0.72</v>
      </c>
      <c r="N343">
        <v>0.6</v>
      </c>
      <c r="O343">
        <v>0.74</v>
      </c>
    </row>
    <row r="344" spans="1:32" x14ac:dyDescent="0.25">
      <c r="A344" t="s">
        <v>158</v>
      </c>
      <c r="B344">
        <f t="shared" ref="B344:D344" si="401">B343*100</f>
        <v>55.000000000000007</v>
      </c>
      <c r="D344">
        <f t="shared" si="401"/>
        <v>73</v>
      </c>
      <c r="E344">
        <f t="shared" ref="E344:F344" si="402">E343*100</f>
        <v>0</v>
      </c>
      <c r="F344">
        <f t="shared" si="402"/>
        <v>44</v>
      </c>
      <c r="G344">
        <f t="shared" ref="G344:H344" si="403">G343*100</f>
        <v>56.000000000000007</v>
      </c>
      <c r="H344">
        <f t="shared" si="403"/>
        <v>60</v>
      </c>
      <c r="J344">
        <f t="shared" ref="J344:O344" si="404">J343*100</f>
        <v>63</v>
      </c>
      <c r="K344">
        <f t="shared" si="404"/>
        <v>67</v>
      </c>
      <c r="L344">
        <f t="shared" si="404"/>
        <v>48</v>
      </c>
      <c r="M344">
        <f t="shared" si="404"/>
        <v>72</v>
      </c>
      <c r="N344">
        <f t="shared" si="404"/>
        <v>60</v>
      </c>
      <c r="O344">
        <f t="shared" si="404"/>
        <v>74</v>
      </c>
      <c r="AF344">
        <f>AF343*100</f>
        <v>0</v>
      </c>
    </row>
    <row r="346" spans="1:32" x14ac:dyDescent="0.25">
      <c r="A346" t="s">
        <v>72</v>
      </c>
      <c r="B346">
        <v>4.9000000000000004</v>
      </c>
      <c r="D346">
        <v>7.9</v>
      </c>
      <c r="F346">
        <v>4.0999999999999996</v>
      </c>
      <c r="G346">
        <v>5.2</v>
      </c>
      <c r="H346">
        <v>10</v>
      </c>
      <c r="J346">
        <v>5.7</v>
      </c>
      <c r="K346">
        <v>5</v>
      </c>
      <c r="L346">
        <v>10.6</v>
      </c>
      <c r="M346">
        <v>7.6</v>
      </c>
      <c r="N346">
        <v>15.2</v>
      </c>
      <c r="O346">
        <v>9.6999999999999993</v>
      </c>
    </row>
    <row r="347" spans="1:32" x14ac:dyDescent="0.25">
      <c r="A347" t="s">
        <v>134</v>
      </c>
      <c r="B347">
        <f t="shared" ref="B347:D347" si="405">B346</f>
        <v>4.9000000000000004</v>
      </c>
      <c r="D347">
        <f t="shared" si="405"/>
        <v>7.9</v>
      </c>
      <c r="E347">
        <f t="shared" ref="E347:F347" si="406">E346</f>
        <v>0</v>
      </c>
      <c r="F347">
        <f t="shared" si="406"/>
        <v>4.0999999999999996</v>
      </c>
      <c r="G347">
        <f t="shared" ref="G347:H347" si="407">G346</f>
        <v>5.2</v>
      </c>
      <c r="H347">
        <f t="shared" si="407"/>
        <v>10</v>
      </c>
      <c r="J347">
        <f t="shared" ref="J347:O347" si="408">J346</f>
        <v>5.7</v>
      </c>
      <c r="K347">
        <f t="shared" si="408"/>
        <v>5</v>
      </c>
      <c r="L347">
        <f t="shared" si="408"/>
        <v>10.6</v>
      </c>
      <c r="M347">
        <f t="shared" si="408"/>
        <v>7.6</v>
      </c>
      <c r="N347">
        <f t="shared" si="408"/>
        <v>15.2</v>
      </c>
      <c r="O347">
        <f t="shared" si="408"/>
        <v>9.6999999999999993</v>
      </c>
      <c r="AF347">
        <f>AF346</f>
        <v>0</v>
      </c>
    </row>
    <row r="349" spans="1:32" x14ac:dyDescent="0.25">
      <c r="A349" t="s">
        <v>331</v>
      </c>
      <c r="G349">
        <v>0.04</v>
      </c>
      <c r="H349" t="s">
        <v>307</v>
      </c>
    </row>
    <row r="351" spans="1:32" x14ac:dyDescent="0.25">
      <c r="A351" t="s">
        <v>73</v>
      </c>
      <c r="J351">
        <v>12.45</v>
      </c>
      <c r="K351">
        <v>9.98</v>
      </c>
      <c r="L351">
        <v>12.21</v>
      </c>
      <c r="M351">
        <v>13.16</v>
      </c>
      <c r="N351">
        <v>5.86</v>
      </c>
      <c r="O351">
        <v>9.1199999999999992</v>
      </c>
      <c r="P351">
        <v>8.7200000000000006</v>
      </c>
      <c r="Q351">
        <v>11.63</v>
      </c>
    </row>
    <row r="352" spans="1:32" x14ac:dyDescent="0.25">
      <c r="A352" t="s">
        <v>145</v>
      </c>
      <c r="B352">
        <f t="shared" ref="B352:D352" si="409">B351</f>
        <v>0</v>
      </c>
      <c r="D352">
        <f t="shared" si="409"/>
        <v>0</v>
      </c>
      <c r="E352">
        <f t="shared" ref="E352:F352" si="410">E351</f>
        <v>0</v>
      </c>
      <c r="F352">
        <f t="shared" si="410"/>
        <v>0</v>
      </c>
      <c r="G352">
        <f t="shared" ref="G352:H352" si="411">G351</f>
        <v>0</v>
      </c>
      <c r="H352">
        <f t="shared" si="411"/>
        <v>0</v>
      </c>
      <c r="J352">
        <f t="shared" ref="J352:O352" si="412">J351</f>
        <v>12.45</v>
      </c>
      <c r="K352">
        <f t="shared" si="412"/>
        <v>9.98</v>
      </c>
      <c r="L352">
        <f t="shared" si="412"/>
        <v>12.21</v>
      </c>
      <c r="M352">
        <f t="shared" si="412"/>
        <v>13.16</v>
      </c>
      <c r="N352">
        <f t="shared" si="412"/>
        <v>5.86</v>
      </c>
      <c r="O352">
        <f t="shared" si="412"/>
        <v>9.1199999999999992</v>
      </c>
      <c r="P352">
        <f t="shared" ref="P352:Q352" si="413">P351</f>
        <v>8.7200000000000006</v>
      </c>
      <c r="Q352">
        <f t="shared" si="413"/>
        <v>11.63</v>
      </c>
      <c r="AF352">
        <f>AF351</f>
        <v>0</v>
      </c>
    </row>
    <row r="354" spans="1:32" x14ac:dyDescent="0.25">
      <c r="A354" t="s">
        <v>306</v>
      </c>
      <c r="B354">
        <v>23</v>
      </c>
      <c r="D354">
        <v>48</v>
      </c>
      <c r="F354">
        <v>69</v>
      </c>
      <c r="G354">
        <v>53</v>
      </c>
      <c r="H354">
        <v>44</v>
      </c>
      <c r="J354">
        <v>32.1</v>
      </c>
      <c r="K354">
        <v>25.6</v>
      </c>
      <c r="L354">
        <v>30.7</v>
      </c>
      <c r="M354">
        <v>129</v>
      </c>
      <c r="N354">
        <v>37.9</v>
      </c>
      <c r="O354">
        <v>39</v>
      </c>
    </row>
    <row r="355" spans="1:32" x14ac:dyDescent="0.25">
      <c r="A355" t="s">
        <v>129</v>
      </c>
      <c r="B355">
        <f t="shared" ref="B355:D355" si="414">B354</f>
        <v>23</v>
      </c>
      <c r="D355">
        <f t="shared" si="414"/>
        <v>48</v>
      </c>
      <c r="E355">
        <f t="shared" ref="E355:F355" si="415">E354</f>
        <v>0</v>
      </c>
      <c r="F355">
        <f t="shared" si="415"/>
        <v>69</v>
      </c>
      <c r="G355">
        <f t="shared" ref="G355:H355" si="416">G354</f>
        <v>53</v>
      </c>
      <c r="H355">
        <f t="shared" si="416"/>
        <v>44</v>
      </c>
      <c r="J355">
        <f t="shared" ref="J355:O355" si="417">J354</f>
        <v>32.1</v>
      </c>
      <c r="K355">
        <f t="shared" si="417"/>
        <v>25.6</v>
      </c>
      <c r="L355">
        <f t="shared" si="417"/>
        <v>30.7</v>
      </c>
      <c r="M355">
        <f t="shared" si="417"/>
        <v>129</v>
      </c>
      <c r="N355">
        <f t="shared" si="417"/>
        <v>37.9</v>
      </c>
      <c r="O355">
        <f t="shared" si="417"/>
        <v>39</v>
      </c>
      <c r="AF355">
        <f>AF354</f>
        <v>0</v>
      </c>
    </row>
    <row r="357" spans="1:32" x14ac:dyDescent="0.25">
      <c r="A357" t="s">
        <v>128</v>
      </c>
      <c r="B357">
        <v>14.1</v>
      </c>
      <c r="D357">
        <v>17.899999999999999</v>
      </c>
      <c r="F357">
        <v>14.5</v>
      </c>
      <c r="G357">
        <v>7.1</v>
      </c>
      <c r="H357">
        <v>13.5</v>
      </c>
      <c r="J357">
        <v>8</v>
      </c>
      <c r="K357">
        <v>10.9</v>
      </c>
      <c r="L357">
        <v>8.1</v>
      </c>
      <c r="M357">
        <v>19.5</v>
      </c>
      <c r="N357">
        <v>20.100000000000001</v>
      </c>
      <c r="O357">
        <v>23.2</v>
      </c>
    </row>
    <row r="358" spans="1:32" x14ac:dyDescent="0.25">
      <c r="A358" t="s">
        <v>132</v>
      </c>
      <c r="B358">
        <f t="shared" ref="B358:D358" si="418">B357/10</f>
        <v>1.41</v>
      </c>
      <c r="D358">
        <f t="shared" si="418"/>
        <v>1.7899999999999998</v>
      </c>
      <c r="E358">
        <f t="shared" ref="E358:F358" si="419">E357/10</f>
        <v>0</v>
      </c>
      <c r="F358">
        <f t="shared" si="419"/>
        <v>1.45</v>
      </c>
      <c r="G358">
        <f t="shared" ref="G358:H358" si="420">G357/10</f>
        <v>0.71</v>
      </c>
      <c r="H358">
        <f t="shared" si="420"/>
        <v>1.35</v>
      </c>
      <c r="J358">
        <f t="shared" ref="J358:O358" si="421">J357/10</f>
        <v>0.8</v>
      </c>
      <c r="K358">
        <f t="shared" si="421"/>
        <v>1.0900000000000001</v>
      </c>
      <c r="L358">
        <f t="shared" si="421"/>
        <v>0.80999999999999994</v>
      </c>
      <c r="M358">
        <f t="shared" si="421"/>
        <v>1.95</v>
      </c>
      <c r="N358">
        <f t="shared" si="421"/>
        <v>2.0100000000000002</v>
      </c>
      <c r="O358">
        <f t="shared" si="421"/>
        <v>2.3199999999999998</v>
      </c>
      <c r="AF358">
        <f>AF357/10</f>
        <v>0</v>
      </c>
    </row>
    <row r="360" spans="1:32" x14ac:dyDescent="0.25">
      <c r="A360" t="s">
        <v>269</v>
      </c>
      <c r="B360">
        <v>1.04</v>
      </c>
      <c r="D360">
        <v>0.77</v>
      </c>
      <c r="F360">
        <v>0.79100000000000004</v>
      </c>
      <c r="G360">
        <v>0.73</v>
      </c>
      <c r="H360">
        <v>0.63</v>
      </c>
      <c r="J360">
        <v>0.26</v>
      </c>
    </row>
    <row r="361" spans="1:32" x14ac:dyDescent="0.25">
      <c r="A361" t="s">
        <v>300</v>
      </c>
    </row>
    <row r="363" spans="1:32" x14ac:dyDescent="0.25">
      <c r="A363" t="s">
        <v>270</v>
      </c>
      <c r="B363">
        <v>14.1</v>
      </c>
      <c r="D363">
        <v>7.4</v>
      </c>
      <c r="F363">
        <v>14.2</v>
      </c>
      <c r="G363">
        <v>5.3</v>
      </c>
      <c r="H363">
        <v>13.3</v>
      </c>
      <c r="J363">
        <v>7.9</v>
      </c>
    </row>
    <row r="365" spans="1:32" x14ac:dyDescent="0.25">
      <c r="A365" t="s">
        <v>271</v>
      </c>
      <c r="B365">
        <v>9.2999999999999999E-2</v>
      </c>
      <c r="D365">
        <v>7.2999999999999995E-2</v>
      </c>
      <c r="F365">
        <v>8.7999999999999995E-2</v>
      </c>
      <c r="G365">
        <v>5.2999999999999999E-2</v>
      </c>
      <c r="H365">
        <v>9.2999999999999999E-2</v>
      </c>
      <c r="J365">
        <v>2.8000000000000001E-2</v>
      </c>
    </row>
    <row r="367" spans="1:32" x14ac:dyDescent="0.25">
      <c r="A367" t="s">
        <v>272</v>
      </c>
      <c r="B367">
        <v>207</v>
      </c>
      <c r="D367">
        <v>133</v>
      </c>
      <c r="F367">
        <v>171</v>
      </c>
      <c r="G367">
        <v>122</v>
      </c>
      <c r="H367">
        <v>364</v>
      </c>
      <c r="J367">
        <v>35</v>
      </c>
    </row>
    <row r="369" spans="1:10" x14ac:dyDescent="0.25">
      <c r="A369" t="s">
        <v>273</v>
      </c>
      <c r="B369">
        <v>2.48</v>
      </c>
      <c r="D369">
        <v>1.37</v>
      </c>
      <c r="F369">
        <v>1.79</v>
      </c>
      <c r="G369">
        <v>1.07</v>
      </c>
      <c r="H369">
        <v>2.7</v>
      </c>
      <c r="J369">
        <v>0.83</v>
      </c>
    </row>
    <row r="371" spans="1:10" x14ac:dyDescent="0.25">
      <c r="A371" t="s">
        <v>288</v>
      </c>
      <c r="B371">
        <v>0.49</v>
      </c>
      <c r="D371">
        <v>0.59</v>
      </c>
      <c r="F371">
        <v>0.6</v>
      </c>
      <c r="G371">
        <v>0.65</v>
      </c>
      <c r="J371">
        <v>0.74</v>
      </c>
    </row>
    <row r="373" spans="1:10" x14ac:dyDescent="0.25">
      <c r="A373" t="s">
        <v>394</v>
      </c>
      <c r="I373">
        <v>123</v>
      </c>
    </row>
    <row r="375" spans="1:10" x14ac:dyDescent="0.25">
      <c r="A375" t="s">
        <v>393</v>
      </c>
      <c r="G375">
        <v>0.7</v>
      </c>
    </row>
    <row r="377" spans="1:10" x14ac:dyDescent="0.25">
      <c r="A377" t="s">
        <v>436</v>
      </c>
      <c r="B377">
        <v>1.52</v>
      </c>
      <c r="D377">
        <v>1.53</v>
      </c>
    </row>
    <row r="378" spans="1:10" x14ac:dyDescent="0.25">
      <c r="A378" t="s">
        <v>439</v>
      </c>
      <c r="B378">
        <f>B377*100</f>
        <v>152</v>
      </c>
      <c r="D378">
        <f>D377*100</f>
        <v>153</v>
      </c>
    </row>
    <row r="380" spans="1:10" x14ac:dyDescent="0.25">
      <c r="A380" t="s">
        <v>388</v>
      </c>
      <c r="G380">
        <v>0.53</v>
      </c>
    </row>
    <row r="382" spans="1:10" x14ac:dyDescent="0.25">
      <c r="A382" t="s">
        <v>392</v>
      </c>
      <c r="G382" t="s">
        <v>389</v>
      </c>
    </row>
    <row r="384" spans="1:10" x14ac:dyDescent="0.25">
      <c r="A384" t="s">
        <v>302</v>
      </c>
      <c r="I384" t="s">
        <v>303</v>
      </c>
    </row>
    <row r="386" spans="1:17" x14ac:dyDescent="0.25">
      <c r="A386" t="s">
        <v>304</v>
      </c>
      <c r="I386" t="s">
        <v>303</v>
      </c>
    </row>
    <row r="388" spans="1:17" x14ac:dyDescent="0.25">
      <c r="A388" t="s">
        <v>305</v>
      </c>
      <c r="I388" t="s">
        <v>303</v>
      </c>
    </row>
    <row r="390" spans="1:17" x14ac:dyDescent="0.25">
      <c r="A390" t="s">
        <v>159</v>
      </c>
      <c r="B390" t="s">
        <v>441</v>
      </c>
      <c r="D390" t="s">
        <v>437</v>
      </c>
      <c r="E390" t="s">
        <v>412</v>
      </c>
      <c r="F390" t="s">
        <v>411</v>
      </c>
      <c r="G390" t="s">
        <v>384</v>
      </c>
      <c r="H390" t="s">
        <v>328</v>
      </c>
      <c r="I390">
        <v>71</v>
      </c>
      <c r="J390" t="s">
        <v>268</v>
      </c>
      <c r="K390" t="s">
        <v>213</v>
      </c>
      <c r="L390" t="s">
        <v>214</v>
      </c>
      <c r="M390">
        <v>80</v>
      </c>
      <c r="N390">
        <v>82</v>
      </c>
      <c r="Q390">
        <v>78</v>
      </c>
    </row>
    <row r="392" spans="1:17" x14ac:dyDescent="0.25">
      <c r="A392" t="s">
        <v>403</v>
      </c>
      <c r="B392">
        <f>(75 + 73.6) /2/1.78/1.78</f>
        <v>23.450321929049363</v>
      </c>
      <c r="D392">
        <f>(74.4 + 73.2) /2/1.78/1.78</f>
        <v>23.29251357151875</v>
      </c>
      <c r="E392">
        <f>(74.3 + 72.6) /2/1.78/1.78</f>
        <v>23.182047721247312</v>
      </c>
      <c r="F392">
        <f>(73.3 + 71.5) /2/1.78/1.78</f>
        <v>22.850650170433028</v>
      </c>
      <c r="G392">
        <f>(74.2 + 72.6) /2/1.78/1.78</f>
        <v>23.166266885494256</v>
      </c>
    </row>
    <row r="394" spans="1:17" x14ac:dyDescent="0.25">
      <c r="A394" t="s">
        <v>162</v>
      </c>
      <c r="B394">
        <v>36.35</v>
      </c>
      <c r="D394">
        <v>34.39</v>
      </c>
      <c r="F394">
        <v>35.32</v>
      </c>
      <c r="G394">
        <v>36.78</v>
      </c>
      <c r="H394">
        <v>39.299999999999997</v>
      </c>
      <c r="J394">
        <v>41.64</v>
      </c>
      <c r="K394">
        <v>34.270000000000003</v>
      </c>
      <c r="L394">
        <v>32.47</v>
      </c>
      <c r="M394">
        <v>34.49</v>
      </c>
    </row>
    <row r="396" spans="1:17" x14ac:dyDescent="0.25">
      <c r="A396" t="s">
        <v>217</v>
      </c>
      <c r="G396">
        <v>32</v>
      </c>
      <c r="H396">
        <v>37</v>
      </c>
      <c r="J396">
        <v>50</v>
      </c>
      <c r="K396">
        <v>34</v>
      </c>
    </row>
    <row r="398" spans="1:17" x14ac:dyDescent="0.25">
      <c r="A398" t="s">
        <v>438</v>
      </c>
      <c r="B398">
        <v>30.8</v>
      </c>
      <c r="D398">
        <v>35.049999999999997</v>
      </c>
      <c r="F398">
        <v>35.07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A218-4FC3-46F7-860B-6A99DE6BCF60}">
  <dimension ref="A1:E54"/>
  <sheetViews>
    <sheetView workbookViewId="0">
      <selection activeCell="B5" sqref="B5"/>
    </sheetView>
  </sheetViews>
  <sheetFormatPr defaultRowHeight="15" x14ac:dyDescent="0.25"/>
  <cols>
    <col min="1" max="1" width="92" bestFit="1" customWidth="1"/>
    <col min="2" max="2" width="20.7109375" customWidth="1"/>
    <col min="3" max="3" width="8.42578125" bestFit="1" customWidth="1"/>
    <col min="4" max="4" width="15.28515625" bestFit="1" customWidth="1"/>
  </cols>
  <sheetData>
    <row r="1" spans="1:5" x14ac:dyDescent="0.25">
      <c r="B1" s="1">
        <v>45294</v>
      </c>
      <c r="C1" s="1">
        <v>45208</v>
      </c>
      <c r="D1" s="1">
        <v>45082</v>
      </c>
    </row>
    <row r="2" spans="1:5" x14ac:dyDescent="0.25">
      <c r="A2" t="s">
        <v>333</v>
      </c>
      <c r="B2">
        <v>74.099999999999994</v>
      </c>
      <c r="C2">
        <v>45.1</v>
      </c>
      <c r="D2">
        <v>22.4</v>
      </c>
    </row>
    <row r="3" spans="1:5" x14ac:dyDescent="0.25">
      <c r="A3" t="s">
        <v>334</v>
      </c>
      <c r="B3">
        <v>174</v>
      </c>
      <c r="C3">
        <v>385.7</v>
      </c>
      <c r="D3">
        <v>220.7</v>
      </c>
      <c r="E3" t="s">
        <v>380</v>
      </c>
    </row>
    <row r="4" spans="1:5" x14ac:dyDescent="0.25">
      <c r="A4" t="s">
        <v>335</v>
      </c>
      <c r="B4">
        <v>69.599999999999994</v>
      </c>
      <c r="C4">
        <v>69.900000000000006</v>
      </c>
      <c r="D4">
        <v>48.8</v>
      </c>
      <c r="E4" t="s">
        <v>380</v>
      </c>
    </row>
    <row r="5" spans="1:5" x14ac:dyDescent="0.25">
      <c r="A5" t="s">
        <v>336</v>
      </c>
      <c r="B5">
        <v>21.9</v>
      </c>
      <c r="C5">
        <v>50.63</v>
      </c>
      <c r="D5">
        <v>32.53</v>
      </c>
      <c r="E5" t="s">
        <v>380</v>
      </c>
    </row>
    <row r="6" spans="1:5" x14ac:dyDescent="0.25">
      <c r="A6" t="s">
        <v>337</v>
      </c>
      <c r="B6">
        <v>160</v>
      </c>
      <c r="C6">
        <v>159.9</v>
      </c>
      <c r="D6">
        <v>118</v>
      </c>
    </row>
    <row r="7" spans="1:5" x14ac:dyDescent="0.25">
      <c r="A7" t="s">
        <v>338</v>
      </c>
      <c r="B7">
        <v>40</v>
      </c>
      <c r="C7">
        <v>184.4</v>
      </c>
      <c r="D7">
        <v>134.30000000000001</v>
      </c>
      <c r="E7" t="s">
        <v>380</v>
      </c>
    </row>
    <row r="8" spans="1:5" x14ac:dyDescent="0.25">
      <c r="A8" t="s">
        <v>339</v>
      </c>
      <c r="B8">
        <v>88.1</v>
      </c>
      <c r="C8">
        <v>187.3</v>
      </c>
      <c r="D8">
        <v>130.19999999999999</v>
      </c>
      <c r="E8" t="s">
        <v>380</v>
      </c>
    </row>
    <row r="9" spans="1:5" x14ac:dyDescent="0.25">
      <c r="A9" t="s">
        <v>340</v>
      </c>
      <c r="B9">
        <v>26.9</v>
      </c>
      <c r="C9">
        <v>86.1</v>
      </c>
      <c r="D9">
        <v>85.6</v>
      </c>
      <c r="E9" s="45" t="s">
        <v>383</v>
      </c>
    </row>
    <row r="10" spans="1:5" x14ac:dyDescent="0.25">
      <c r="A10" t="s">
        <v>341</v>
      </c>
      <c r="B10">
        <v>72.3</v>
      </c>
      <c r="C10">
        <v>81.5</v>
      </c>
      <c r="D10">
        <v>39.700000000000003</v>
      </c>
      <c r="E10" t="s">
        <v>380</v>
      </c>
    </row>
    <row r="11" spans="1:5" x14ac:dyDescent="0.25">
      <c r="A11" t="s">
        <v>342</v>
      </c>
      <c r="C11">
        <v>74.95</v>
      </c>
      <c r="D11">
        <v>46.1</v>
      </c>
    </row>
    <row r="12" spans="1:5" x14ac:dyDescent="0.25">
      <c r="A12" t="s">
        <v>343</v>
      </c>
      <c r="B12">
        <v>283</v>
      </c>
      <c r="C12">
        <v>512</v>
      </c>
      <c r="D12">
        <v>244</v>
      </c>
    </row>
    <row r="13" spans="1:5" x14ac:dyDescent="0.25">
      <c r="A13" t="s">
        <v>344</v>
      </c>
      <c r="B13">
        <v>34</v>
      </c>
      <c r="C13">
        <v>64.7</v>
      </c>
      <c r="D13">
        <v>39.9</v>
      </c>
    </row>
    <row r="14" spans="1:5" x14ac:dyDescent="0.25">
      <c r="A14" t="s">
        <v>345</v>
      </c>
      <c r="B14">
        <v>7.9</v>
      </c>
      <c r="C14" t="s">
        <v>308</v>
      </c>
      <c r="D14" t="s">
        <v>308</v>
      </c>
    </row>
    <row r="15" spans="1:5" x14ac:dyDescent="0.25">
      <c r="A15" t="s">
        <v>346</v>
      </c>
      <c r="B15">
        <v>397</v>
      </c>
      <c r="C15">
        <v>339.4</v>
      </c>
      <c r="D15">
        <v>257.60000000000002</v>
      </c>
    </row>
    <row r="16" spans="1:5" x14ac:dyDescent="0.25">
      <c r="A16" t="s">
        <v>347</v>
      </c>
      <c r="B16">
        <v>317</v>
      </c>
      <c r="C16">
        <v>718</v>
      </c>
      <c r="D16">
        <v>629.1</v>
      </c>
    </row>
    <row r="17" spans="1:5" x14ac:dyDescent="0.25">
      <c r="A17" t="s">
        <v>381</v>
      </c>
      <c r="B17">
        <v>59.4</v>
      </c>
      <c r="C17">
        <v>44.1</v>
      </c>
      <c r="D17" t="s">
        <v>330</v>
      </c>
      <c r="E17" t="s">
        <v>382</v>
      </c>
    </row>
    <row r="18" spans="1:5" x14ac:dyDescent="0.25">
      <c r="A18" t="s">
        <v>348</v>
      </c>
      <c r="B18">
        <v>164</v>
      </c>
      <c r="C18">
        <v>227.6</v>
      </c>
      <c r="D18">
        <v>144.30000000000001</v>
      </c>
    </row>
    <row r="19" spans="1:5" x14ac:dyDescent="0.25">
      <c r="A19" t="s">
        <v>349</v>
      </c>
      <c r="B19">
        <v>74.3</v>
      </c>
      <c r="C19">
        <v>125.3</v>
      </c>
      <c r="D19">
        <v>113</v>
      </c>
    </row>
    <row r="20" spans="1:5" x14ac:dyDescent="0.25">
      <c r="A20" t="s">
        <v>350</v>
      </c>
      <c r="B20">
        <v>95</v>
      </c>
      <c r="C20">
        <v>105.1</v>
      </c>
      <c r="D20">
        <v>42.1</v>
      </c>
    </row>
    <row r="21" spans="1:5" x14ac:dyDescent="0.25">
      <c r="A21" t="s">
        <v>351</v>
      </c>
      <c r="B21">
        <v>55.9</v>
      </c>
      <c r="C21">
        <v>91.8</v>
      </c>
      <c r="D21">
        <v>42.8</v>
      </c>
    </row>
    <row r="22" spans="1:5" x14ac:dyDescent="0.25">
      <c r="A22" t="s">
        <v>352</v>
      </c>
      <c r="B22">
        <v>0.9</v>
      </c>
      <c r="C22" t="s">
        <v>309</v>
      </c>
      <c r="D22" t="s">
        <v>309</v>
      </c>
    </row>
    <row r="23" spans="1:5" x14ac:dyDescent="0.25">
      <c r="A23" t="s">
        <v>353</v>
      </c>
      <c r="B23">
        <v>0.82</v>
      </c>
      <c r="C23" t="s">
        <v>311</v>
      </c>
      <c r="D23" t="s">
        <v>311</v>
      </c>
    </row>
    <row r="24" spans="1:5" x14ac:dyDescent="0.25">
      <c r="A24" t="s">
        <v>354</v>
      </c>
      <c r="B24">
        <v>37.4</v>
      </c>
      <c r="C24">
        <v>65.2</v>
      </c>
      <c r="D24">
        <v>49.8</v>
      </c>
    </row>
    <row r="25" spans="1:5" x14ac:dyDescent="0.25">
      <c r="A25" t="s">
        <v>355</v>
      </c>
      <c r="B25">
        <v>32.4</v>
      </c>
      <c r="C25">
        <v>27.85</v>
      </c>
      <c r="D25">
        <v>33.950000000000003</v>
      </c>
    </row>
    <row r="26" spans="1:5" x14ac:dyDescent="0.25">
      <c r="A26" t="s">
        <v>356</v>
      </c>
      <c r="C26" t="s">
        <v>312</v>
      </c>
      <c r="D26" t="s">
        <v>312</v>
      </c>
    </row>
    <row r="27" spans="1:5" x14ac:dyDescent="0.25">
      <c r="A27" t="s">
        <v>357</v>
      </c>
      <c r="C27" t="s">
        <v>310</v>
      </c>
      <c r="D27" t="s">
        <v>310</v>
      </c>
    </row>
    <row r="28" spans="1:5" x14ac:dyDescent="0.25">
      <c r="A28" t="s">
        <v>405</v>
      </c>
      <c r="B28">
        <v>8.6999999999999993</v>
      </c>
    </row>
    <row r="29" spans="1:5" x14ac:dyDescent="0.25">
      <c r="A29" t="s">
        <v>358</v>
      </c>
      <c r="B29">
        <v>0.09</v>
      </c>
      <c r="C29" t="s">
        <v>313</v>
      </c>
      <c r="D29" t="s">
        <v>313</v>
      </c>
    </row>
    <row r="30" spans="1:5" x14ac:dyDescent="0.25">
      <c r="A30" t="s">
        <v>359</v>
      </c>
      <c r="C30" t="s">
        <v>314</v>
      </c>
      <c r="D30" t="s">
        <v>314</v>
      </c>
    </row>
    <row r="31" spans="1:5" x14ac:dyDescent="0.25">
      <c r="A31" t="s">
        <v>360</v>
      </c>
      <c r="B31">
        <v>21.6</v>
      </c>
      <c r="C31">
        <v>20.73</v>
      </c>
      <c r="D31">
        <v>60</v>
      </c>
    </row>
    <row r="32" spans="1:5" x14ac:dyDescent="0.25">
      <c r="A32" t="s">
        <v>361</v>
      </c>
      <c r="B32">
        <v>1.1399999999999999</v>
      </c>
      <c r="C32" t="s">
        <v>315</v>
      </c>
      <c r="D32" t="s">
        <v>315</v>
      </c>
    </row>
    <row r="33" spans="1:5" x14ac:dyDescent="0.25">
      <c r="A33" t="s">
        <v>362</v>
      </c>
      <c r="B33">
        <v>4.09</v>
      </c>
      <c r="C33">
        <v>5.0599999999999996</v>
      </c>
      <c r="D33">
        <v>13.66</v>
      </c>
    </row>
    <row r="34" spans="1:5" x14ac:dyDescent="0.25">
      <c r="A34" t="s">
        <v>363</v>
      </c>
      <c r="C34" t="s">
        <v>316</v>
      </c>
      <c r="D34" t="s">
        <v>316</v>
      </c>
    </row>
    <row r="35" spans="1:5" x14ac:dyDescent="0.25">
      <c r="A35" t="s">
        <v>364</v>
      </c>
      <c r="B35">
        <v>1.27</v>
      </c>
      <c r="C35" t="s">
        <v>317</v>
      </c>
      <c r="D35" t="s">
        <v>317</v>
      </c>
    </row>
    <row r="36" spans="1:5" x14ac:dyDescent="0.25">
      <c r="A36" t="s">
        <v>365</v>
      </c>
      <c r="B36">
        <v>10.9</v>
      </c>
      <c r="C36">
        <v>7.5</v>
      </c>
      <c r="D36">
        <v>7.59</v>
      </c>
      <c r="E36" t="s">
        <v>382</v>
      </c>
    </row>
    <row r="37" spans="1:5" x14ac:dyDescent="0.25">
      <c r="A37" t="s">
        <v>367</v>
      </c>
      <c r="B37">
        <v>5.0599999999999996</v>
      </c>
      <c r="C37">
        <v>5.9</v>
      </c>
      <c r="D37">
        <v>2.5</v>
      </c>
      <c r="E37" t="s">
        <v>382</v>
      </c>
    </row>
    <row r="38" spans="1:5" x14ac:dyDescent="0.25">
      <c r="A38" t="s">
        <v>366</v>
      </c>
      <c r="B38">
        <v>3.67</v>
      </c>
      <c r="C38">
        <v>18.600000000000001</v>
      </c>
      <c r="D38">
        <v>11.6</v>
      </c>
      <c r="E38" t="s">
        <v>382</v>
      </c>
    </row>
    <row r="39" spans="1:5" x14ac:dyDescent="0.25">
      <c r="A39" t="s">
        <v>368</v>
      </c>
      <c r="B39">
        <v>0.17</v>
      </c>
      <c r="C39" t="s">
        <v>318</v>
      </c>
      <c r="D39" t="s">
        <v>318</v>
      </c>
    </row>
    <row r="40" spans="1:5" x14ac:dyDescent="0.25">
      <c r="A40" t="s">
        <v>369</v>
      </c>
      <c r="B40">
        <v>4.9800000000000004</v>
      </c>
      <c r="C40" t="s">
        <v>390</v>
      </c>
      <c r="D40">
        <v>8.01</v>
      </c>
    </row>
    <row r="41" spans="1:5" x14ac:dyDescent="0.25">
      <c r="A41" t="s">
        <v>370</v>
      </c>
      <c r="B41">
        <v>0.28000000000000003</v>
      </c>
      <c r="C41" t="s">
        <v>319</v>
      </c>
      <c r="D41" t="s">
        <v>319</v>
      </c>
    </row>
    <row r="42" spans="1:5" x14ac:dyDescent="0.25">
      <c r="A42" t="s">
        <v>371</v>
      </c>
      <c r="B42">
        <v>0.62</v>
      </c>
      <c r="C42">
        <v>14.14</v>
      </c>
      <c r="D42">
        <v>13.37</v>
      </c>
    </row>
    <row r="43" spans="1:5" x14ac:dyDescent="0.25">
      <c r="A43" t="s">
        <v>372</v>
      </c>
      <c r="B43">
        <v>8.8000000000000007</v>
      </c>
      <c r="C43">
        <v>52.05</v>
      </c>
      <c r="D43">
        <v>27.15</v>
      </c>
    </row>
    <row r="44" spans="1:5" x14ac:dyDescent="0.25">
      <c r="A44" t="s">
        <v>373</v>
      </c>
      <c r="B44">
        <v>1.05</v>
      </c>
      <c r="C44" t="s">
        <v>391</v>
      </c>
      <c r="D44">
        <v>4.5199999999999996</v>
      </c>
    </row>
    <row r="45" spans="1:5" x14ac:dyDescent="0.25">
      <c r="A45" t="s">
        <v>374</v>
      </c>
      <c r="B45">
        <v>0.24</v>
      </c>
      <c r="C45" t="s">
        <v>320</v>
      </c>
      <c r="D45" t="s">
        <v>320</v>
      </c>
    </row>
    <row r="46" spans="1:5" x14ac:dyDescent="0.25">
      <c r="A46" t="s">
        <v>375</v>
      </c>
      <c r="B46">
        <v>3</v>
      </c>
      <c r="C46" t="s">
        <v>321</v>
      </c>
      <c r="D46" t="s">
        <v>321</v>
      </c>
    </row>
    <row r="47" spans="1:5" x14ac:dyDescent="0.25">
      <c r="A47" t="s">
        <v>376</v>
      </c>
      <c r="B47">
        <v>0.82</v>
      </c>
      <c r="C47" t="s">
        <v>322</v>
      </c>
      <c r="D47" t="s">
        <v>322</v>
      </c>
    </row>
    <row r="48" spans="1:5" x14ac:dyDescent="0.25">
      <c r="A48" t="s">
        <v>377</v>
      </c>
      <c r="B48">
        <v>19</v>
      </c>
      <c r="C48">
        <v>11.91</v>
      </c>
      <c r="D48" t="s">
        <v>323</v>
      </c>
    </row>
    <row r="49" spans="1:4" x14ac:dyDescent="0.25">
      <c r="A49" t="s">
        <v>378</v>
      </c>
      <c r="B49">
        <v>1.64</v>
      </c>
      <c r="C49">
        <v>1.66</v>
      </c>
      <c r="D49" t="s">
        <v>324</v>
      </c>
    </row>
    <row r="50" spans="1:4" x14ac:dyDescent="0.25">
      <c r="A50" t="s">
        <v>379</v>
      </c>
      <c r="C50" t="s">
        <v>325</v>
      </c>
      <c r="D50" t="s">
        <v>325</v>
      </c>
    </row>
    <row r="51" spans="1:4" x14ac:dyDescent="0.25">
      <c r="A51" t="s">
        <v>406</v>
      </c>
      <c r="B51">
        <v>262</v>
      </c>
    </row>
    <row r="52" spans="1:4" x14ac:dyDescent="0.25">
      <c r="A52" t="s">
        <v>407</v>
      </c>
      <c r="B52">
        <v>281</v>
      </c>
    </row>
    <row r="53" spans="1:4" x14ac:dyDescent="0.25">
      <c r="A53" t="s">
        <v>408</v>
      </c>
      <c r="B53">
        <v>0</v>
      </c>
    </row>
    <row r="54" spans="1:4" x14ac:dyDescent="0.25">
      <c r="A54" t="s">
        <v>409</v>
      </c>
      <c r="B54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6F5C-2AEB-4FAA-91BF-E25BBD7D2FAC}">
  <dimension ref="A1:G36"/>
  <sheetViews>
    <sheetView tabSelected="1" workbookViewId="0"/>
  </sheetViews>
  <sheetFormatPr defaultRowHeight="15" x14ac:dyDescent="0.25"/>
  <cols>
    <col min="1" max="1" width="35.42578125" bestFit="1" customWidth="1"/>
    <col min="2" max="2" width="12.5703125" customWidth="1"/>
    <col min="3" max="3" width="9.85546875" customWidth="1"/>
  </cols>
  <sheetData>
    <row r="1" spans="1:7" x14ac:dyDescent="0.25">
      <c r="A1" s="1">
        <f>'Blood work'!$B$1</f>
        <v>45474</v>
      </c>
      <c r="B1" s="4">
        <f>YEARFRAC(DATE(1975,10,10),A1)</f>
        <v>48.725000000000001</v>
      </c>
      <c r="C1" s="43" t="s">
        <v>395</v>
      </c>
    </row>
    <row r="2" spans="1:7" x14ac:dyDescent="0.25">
      <c r="A2" s="1" t="s">
        <v>329</v>
      </c>
      <c r="B2" s="46">
        <f>'Blood work'!$B394</f>
        <v>36.35</v>
      </c>
      <c r="C2" s="43">
        <f>'Blood work'!$B394-'Blood work'!D394</f>
        <v>1.9600000000000009</v>
      </c>
    </row>
    <row r="3" spans="1:7" x14ac:dyDescent="0.25">
      <c r="A3" s="1" t="s">
        <v>438</v>
      </c>
      <c r="B3" s="46">
        <f>'Blood work'!$B398</f>
        <v>30.8</v>
      </c>
      <c r="C3" s="31">
        <f>'Blood work'!$B398-'Blood work'!D398</f>
        <v>-4.2499999999999964</v>
      </c>
    </row>
    <row r="4" spans="1:7" x14ac:dyDescent="0.25">
      <c r="C4" s="43"/>
    </row>
    <row r="5" spans="1:7" x14ac:dyDescent="0.25">
      <c r="A5" s="43" t="s">
        <v>239</v>
      </c>
      <c r="B5" s="43" t="s">
        <v>176</v>
      </c>
      <c r="C5" s="43"/>
      <c r="D5" s="43" t="s">
        <v>396</v>
      </c>
      <c r="E5" s="43" t="s">
        <v>397</v>
      </c>
      <c r="F5" s="43" t="s">
        <v>398</v>
      </c>
      <c r="G5" s="43" t="s">
        <v>399</v>
      </c>
    </row>
    <row r="6" spans="1:7" x14ac:dyDescent="0.25">
      <c r="A6" t="s">
        <v>165</v>
      </c>
      <c r="B6" t="s">
        <v>238</v>
      </c>
      <c r="C6" s="47">
        <f>'Blood work'!$B183</f>
        <v>4.5999999999999996</v>
      </c>
      <c r="D6">
        <v>1</v>
      </c>
      <c r="E6">
        <v>20</v>
      </c>
      <c r="F6">
        <v>-0.03</v>
      </c>
      <c r="G6">
        <v>0</v>
      </c>
    </row>
    <row r="7" spans="1:7" x14ac:dyDescent="0.25">
      <c r="A7" t="s">
        <v>166</v>
      </c>
      <c r="B7" t="s">
        <v>177</v>
      </c>
      <c r="C7" s="48">
        <f>'Blood work'!$B209</f>
        <v>0.95022624434389136</v>
      </c>
      <c r="D7">
        <v>1.07</v>
      </c>
      <c r="E7">
        <v>59.1</v>
      </c>
      <c r="F7">
        <v>0.03</v>
      </c>
      <c r="G7">
        <v>2.2999999999999998</v>
      </c>
    </row>
    <row r="8" spans="1:7" x14ac:dyDescent="0.25">
      <c r="A8" t="s">
        <v>236</v>
      </c>
      <c r="B8" t="s">
        <v>177</v>
      </c>
      <c r="C8" s="49">
        <f>'Blood work'!$B200</f>
        <v>86.486486486486484</v>
      </c>
      <c r="D8">
        <v>1.01</v>
      </c>
      <c r="E8">
        <v>21.6</v>
      </c>
      <c r="F8">
        <v>0.01</v>
      </c>
      <c r="G8">
        <v>-4.9000000000000004</v>
      </c>
    </row>
    <row r="9" spans="1:7" x14ac:dyDescent="0.25">
      <c r="A9" t="s">
        <v>168</v>
      </c>
      <c r="B9" t="s">
        <v>178</v>
      </c>
      <c r="C9" s="47" t="str">
        <f>'Blood work'!$B$160</f>
        <v>&lt;0.4</v>
      </c>
    </row>
    <row r="10" spans="1:7" x14ac:dyDescent="0.25">
      <c r="A10" t="s">
        <v>267</v>
      </c>
      <c r="B10" t="s">
        <v>179</v>
      </c>
      <c r="C10" s="47">
        <f>'Blood work'!$B121</f>
        <v>32.5</v>
      </c>
      <c r="E10">
        <v>20</v>
      </c>
      <c r="G10">
        <v>0</v>
      </c>
    </row>
    <row r="11" spans="1:7" x14ac:dyDescent="0.25">
      <c r="A11" t="s">
        <v>264</v>
      </c>
      <c r="B11" t="s">
        <v>180</v>
      </c>
      <c r="C11" s="47">
        <f>'Blood work'!$B88</f>
        <v>93.3</v>
      </c>
      <c r="D11">
        <v>1.1599999999999999</v>
      </c>
      <c r="E11">
        <v>100</v>
      </c>
      <c r="F11">
        <v>0.16</v>
      </c>
      <c r="G11">
        <v>0</v>
      </c>
    </row>
    <row r="12" spans="1:7" x14ac:dyDescent="0.25">
      <c r="A12" t="s">
        <v>265</v>
      </c>
      <c r="B12" t="s">
        <v>179</v>
      </c>
      <c r="C12" s="47">
        <f>'Blood work'!$B92</f>
        <v>11.9</v>
      </c>
      <c r="D12">
        <v>1.05</v>
      </c>
      <c r="E12">
        <v>20</v>
      </c>
      <c r="F12">
        <v>0.05</v>
      </c>
      <c r="G12">
        <v>0</v>
      </c>
    </row>
    <row r="13" spans="1:7" x14ac:dyDescent="0.25">
      <c r="A13" t="s">
        <v>237</v>
      </c>
      <c r="B13" t="s">
        <v>181</v>
      </c>
      <c r="C13" s="47">
        <f>'Blood work'!$B242</f>
        <v>71</v>
      </c>
      <c r="D13">
        <v>1.63</v>
      </c>
      <c r="F13">
        <v>0</v>
      </c>
    </row>
    <row r="14" spans="1:7" x14ac:dyDescent="0.25">
      <c r="A14" t="s">
        <v>173</v>
      </c>
      <c r="B14" t="s">
        <v>182</v>
      </c>
      <c r="C14" s="47">
        <f>'Blood work'!$B109</f>
        <v>3.67</v>
      </c>
      <c r="D14">
        <v>1.04</v>
      </c>
      <c r="F14">
        <v>0</v>
      </c>
    </row>
    <row r="15" spans="1:7" x14ac:dyDescent="0.25">
      <c r="A15" t="s">
        <v>262</v>
      </c>
      <c r="B15" t="s">
        <v>177</v>
      </c>
      <c r="C15" s="50">
        <f>'Blood work'!$B213</f>
        <v>15.462259716484006</v>
      </c>
      <c r="D15">
        <v>1.1100000000000001</v>
      </c>
      <c r="E15">
        <v>54.8</v>
      </c>
      <c r="F15">
        <v>0.09</v>
      </c>
      <c r="G15">
        <v>17.399999999999999</v>
      </c>
    </row>
    <row r="16" spans="1:7" x14ac:dyDescent="0.25">
      <c r="A16" t="s">
        <v>254</v>
      </c>
      <c r="B16" t="s">
        <v>177</v>
      </c>
      <c r="C16" s="49">
        <f>'Blood work'!$B228</f>
        <v>142.0849420849421</v>
      </c>
      <c r="E16">
        <v>20</v>
      </c>
      <c r="G16">
        <v>0</v>
      </c>
    </row>
    <row r="17" spans="1:7" x14ac:dyDescent="0.25">
      <c r="A17" t="s">
        <v>240</v>
      </c>
      <c r="B17" t="s">
        <v>238</v>
      </c>
      <c r="C17" s="47">
        <f>'Blood work'!$B218</f>
        <v>6.8</v>
      </c>
      <c r="E17">
        <v>72.599999999999994</v>
      </c>
      <c r="G17">
        <v>0</v>
      </c>
    </row>
    <row r="18" spans="1:7" x14ac:dyDescent="0.25">
      <c r="A18" t="s">
        <v>241</v>
      </c>
      <c r="B18" t="s">
        <v>189</v>
      </c>
      <c r="C18" s="47">
        <f>'Blood work'!$B$256</f>
        <v>132</v>
      </c>
      <c r="D18">
        <v>1.23</v>
      </c>
      <c r="F18">
        <v>0</v>
      </c>
    </row>
    <row r="19" spans="1:7" x14ac:dyDescent="0.25">
      <c r="A19" t="s">
        <v>242</v>
      </c>
      <c r="B19" t="s">
        <v>238</v>
      </c>
      <c r="C19" s="47">
        <f>'Blood work'!$B$81</f>
        <v>12.7</v>
      </c>
      <c r="D19">
        <v>1.1599999999999999</v>
      </c>
      <c r="F19">
        <v>0</v>
      </c>
    </row>
    <row r="20" spans="1:7" x14ac:dyDescent="0.25">
      <c r="A20" t="s">
        <v>243</v>
      </c>
      <c r="B20" t="s">
        <v>177</v>
      </c>
      <c r="C20" s="48">
        <f>'Blood work'!$B$189</f>
        <v>0.86549707602339176</v>
      </c>
    </row>
    <row r="21" spans="1:7" x14ac:dyDescent="0.25">
      <c r="A21" t="s">
        <v>244</v>
      </c>
      <c r="B21" t="s">
        <v>177</v>
      </c>
      <c r="C21" s="49">
        <f>'Blood work'!$B$221</f>
        <v>31.858407079646017</v>
      </c>
      <c r="D21">
        <v>1</v>
      </c>
      <c r="F21">
        <v>0</v>
      </c>
    </row>
    <row r="22" spans="1:7" x14ac:dyDescent="0.25">
      <c r="A22" t="s">
        <v>245</v>
      </c>
      <c r="B22" t="s">
        <v>177</v>
      </c>
      <c r="C22" s="49">
        <f>'Blood work'!$B$232</f>
        <v>71.814671814671826</v>
      </c>
      <c r="D22">
        <v>1.04</v>
      </c>
      <c r="E22">
        <v>22</v>
      </c>
      <c r="F22">
        <v>0</v>
      </c>
      <c r="G22">
        <v>0</v>
      </c>
    </row>
    <row r="23" spans="1:7" x14ac:dyDescent="0.25">
      <c r="A23" t="s">
        <v>261</v>
      </c>
      <c r="B23" t="s">
        <v>177</v>
      </c>
      <c r="C23" s="49">
        <f>'Blood work'!$B$236</f>
        <v>64.092664092664094</v>
      </c>
      <c r="E23">
        <v>20</v>
      </c>
      <c r="G23">
        <v>0</v>
      </c>
    </row>
    <row r="24" spans="1:7" x14ac:dyDescent="0.25">
      <c r="A24" t="s">
        <v>246</v>
      </c>
      <c r="B24" t="s">
        <v>177</v>
      </c>
      <c r="C24" s="47">
        <f>'Blood work'!$B$248</f>
        <v>9.48</v>
      </c>
      <c r="E24">
        <v>28</v>
      </c>
      <c r="G24">
        <v>6.6</v>
      </c>
    </row>
    <row r="25" spans="1:7" x14ac:dyDescent="0.25">
      <c r="A25" t="s">
        <v>247</v>
      </c>
      <c r="B25" t="s">
        <v>189</v>
      </c>
      <c r="C25" s="47">
        <f>'Blood work'!$B$252</f>
        <v>4.9000000000000004</v>
      </c>
    </row>
    <row r="26" spans="1:7" x14ac:dyDescent="0.25">
      <c r="A26" t="s">
        <v>248</v>
      </c>
      <c r="B26" t="s">
        <v>252</v>
      </c>
      <c r="C26" s="47">
        <f>'Blood work'!$B$77</f>
        <v>35.700000000000003</v>
      </c>
    </row>
    <row r="27" spans="1:7" x14ac:dyDescent="0.25">
      <c r="A27" t="s">
        <v>249</v>
      </c>
      <c r="B27" t="s">
        <v>238</v>
      </c>
      <c r="C27" s="47">
        <f>'Blood work'!$B$102</f>
        <v>35.6</v>
      </c>
    </row>
    <row r="28" spans="1:7" x14ac:dyDescent="0.25">
      <c r="A28" t="s">
        <v>250</v>
      </c>
      <c r="B28" t="s">
        <v>182</v>
      </c>
      <c r="C28" s="47">
        <f>'Blood work'!$B$106</f>
        <v>209</v>
      </c>
      <c r="D28">
        <v>1</v>
      </c>
      <c r="E28">
        <v>80</v>
      </c>
      <c r="F28">
        <v>-0.08</v>
      </c>
      <c r="G28">
        <v>-20</v>
      </c>
    </row>
    <row r="29" spans="1:7" x14ac:dyDescent="0.25">
      <c r="A29" t="s">
        <v>251</v>
      </c>
      <c r="B29" t="s">
        <v>253</v>
      </c>
      <c r="C29" s="47">
        <f>'Blood work'!$B$84</f>
        <v>3.83</v>
      </c>
      <c r="E29">
        <v>100</v>
      </c>
      <c r="G29">
        <v>0</v>
      </c>
    </row>
    <row r="30" spans="1:7" x14ac:dyDescent="0.25">
      <c r="A30" t="s">
        <v>255</v>
      </c>
      <c r="B30" t="s">
        <v>256</v>
      </c>
      <c r="C30" s="47">
        <f>'Blood work'!$B$154</f>
        <v>7.34</v>
      </c>
      <c r="D30">
        <v>1.53</v>
      </c>
      <c r="E30">
        <v>20</v>
      </c>
      <c r="F30">
        <v>0.04</v>
      </c>
      <c r="G30">
        <v>0</v>
      </c>
    </row>
    <row r="31" spans="1:7" x14ac:dyDescent="0.25">
      <c r="A31" t="s">
        <v>257</v>
      </c>
      <c r="B31" t="s">
        <v>181</v>
      </c>
      <c r="C31" s="47">
        <f>'Blood work'!$B$179</f>
        <v>72</v>
      </c>
      <c r="D31" t="s">
        <v>400</v>
      </c>
      <c r="E31" t="s">
        <v>401</v>
      </c>
      <c r="F31">
        <v>0</v>
      </c>
      <c r="G31">
        <v>0</v>
      </c>
    </row>
    <row r="32" spans="1:7" x14ac:dyDescent="0.25">
      <c r="A32" t="s">
        <v>258</v>
      </c>
      <c r="B32" t="s">
        <v>181</v>
      </c>
      <c r="C32" s="47">
        <f>'Blood work'!$B$175</f>
        <v>30</v>
      </c>
      <c r="D32" t="s">
        <v>442</v>
      </c>
      <c r="E32">
        <v>24.2</v>
      </c>
      <c r="F32">
        <v>0.19</v>
      </c>
      <c r="G32">
        <v>-65.8</v>
      </c>
    </row>
    <row r="33" spans="1:7" x14ac:dyDescent="0.25">
      <c r="A33" t="s">
        <v>259</v>
      </c>
      <c r="B33" t="s">
        <v>275</v>
      </c>
      <c r="C33" s="47">
        <f>'Blood work'!$B$135</f>
        <v>2120</v>
      </c>
      <c r="D33">
        <v>1</v>
      </c>
      <c r="E33">
        <v>20</v>
      </c>
      <c r="F33">
        <v>-0.45</v>
      </c>
      <c r="G33">
        <v>0</v>
      </c>
    </row>
    <row r="34" spans="1:7" x14ac:dyDescent="0.25">
      <c r="A34" t="s">
        <v>260</v>
      </c>
      <c r="B34" t="s">
        <v>275</v>
      </c>
      <c r="C34" s="47">
        <f>'Blood work'!$B$138</f>
        <v>1190</v>
      </c>
      <c r="D34">
        <v>1.39</v>
      </c>
      <c r="E34">
        <v>100</v>
      </c>
      <c r="F34">
        <v>-0.22</v>
      </c>
      <c r="G34">
        <v>0</v>
      </c>
    </row>
    <row r="35" spans="1:7" x14ac:dyDescent="0.25">
      <c r="A35" t="s">
        <v>263</v>
      </c>
      <c r="B35" t="s">
        <v>275</v>
      </c>
      <c r="C35" s="47">
        <f>'Blood work'!$B$141</f>
        <v>280</v>
      </c>
      <c r="D35">
        <v>1</v>
      </c>
      <c r="E35">
        <v>20</v>
      </c>
      <c r="F35">
        <v>0</v>
      </c>
      <c r="G35">
        <v>0</v>
      </c>
    </row>
    <row r="36" spans="1:7" x14ac:dyDescent="0.25">
      <c r="A36" t="s">
        <v>402</v>
      </c>
      <c r="B36" t="s">
        <v>178</v>
      </c>
      <c r="C36" s="47">
        <f>'Blood work'!$B371</f>
        <v>0.49</v>
      </c>
      <c r="D36">
        <v>1</v>
      </c>
      <c r="E36">
        <v>28</v>
      </c>
      <c r="F36">
        <v>0</v>
      </c>
      <c r="G36">
        <v>0</v>
      </c>
    </row>
  </sheetData>
  <conditionalFormatting sqref="C2:C3 F6:G3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6:D36">
    <cfRule type="cellIs" dxfId="1" priority="1" operator="greaterThan">
      <formula>1.05</formula>
    </cfRule>
  </conditionalFormatting>
  <conditionalFormatting sqref="E6:E36">
    <cfRule type="cellIs" dxfId="0" priority="2" operator="greaterThan">
      <formula>50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0E36-27EA-4AC3-8FD0-256402A1A935}">
  <dimension ref="A1:L16"/>
  <sheetViews>
    <sheetView zoomScale="142" zoomScaleNormal="142" workbookViewId="0">
      <selection activeCell="L3" sqref="L3"/>
    </sheetView>
  </sheetViews>
  <sheetFormatPr defaultRowHeight="15" x14ac:dyDescent="0.25"/>
  <cols>
    <col min="3" max="3" width="10.28515625" customWidth="1"/>
    <col min="6" max="6" width="11.42578125" customWidth="1"/>
    <col min="12" max="12" width="10.7109375" bestFit="1" customWidth="1"/>
  </cols>
  <sheetData>
    <row r="1" spans="1:12" x14ac:dyDescent="0.25">
      <c r="A1" s="53" t="s">
        <v>163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2" ht="39" thickBot="1" x14ac:dyDescent="0.3">
      <c r="A2" s="6" t="s">
        <v>164</v>
      </c>
      <c r="B2" s="7" t="s">
        <v>165</v>
      </c>
      <c r="C2" s="7" t="s">
        <v>166</v>
      </c>
      <c r="D2" s="7" t="s">
        <v>167</v>
      </c>
      <c r="E2" s="7" t="s">
        <v>168</v>
      </c>
      <c r="F2" s="7" t="s">
        <v>169</v>
      </c>
      <c r="G2" s="7" t="s">
        <v>170</v>
      </c>
      <c r="H2" s="7" t="s">
        <v>171</v>
      </c>
      <c r="I2" s="7" t="s">
        <v>172</v>
      </c>
      <c r="J2" s="7" t="s">
        <v>173</v>
      </c>
      <c r="K2" s="8" t="s">
        <v>174</v>
      </c>
      <c r="L2" s="40" t="s">
        <v>201</v>
      </c>
    </row>
    <row r="3" spans="1:12" ht="15.75" thickBot="1" x14ac:dyDescent="0.3">
      <c r="A3" s="9" t="s">
        <v>175</v>
      </c>
      <c r="B3" s="9">
        <f>'Blood work'!$B183</f>
        <v>4.5999999999999996</v>
      </c>
      <c r="C3" s="42">
        <f>'Blood work'!$B209</f>
        <v>0.95022624434389136</v>
      </c>
      <c r="D3" s="9">
        <f>'Blood work'!$B200</f>
        <v>86.486486486486484</v>
      </c>
      <c r="E3" s="9">
        <v>0.4</v>
      </c>
      <c r="F3" s="9">
        <f>'Blood work'!$B121</f>
        <v>32.5</v>
      </c>
      <c r="G3" s="9">
        <f>'Blood work'!$B88</f>
        <v>93.3</v>
      </c>
      <c r="H3" s="9">
        <f>'Blood work'!$B92</f>
        <v>11.9</v>
      </c>
      <c r="I3" s="9">
        <f>'Blood work'!$B242</f>
        <v>71</v>
      </c>
      <c r="J3" s="9">
        <f>'Blood work'!$B109</f>
        <v>3.67</v>
      </c>
      <c r="K3" s="42">
        <f>YEARFRAC(DATE(1975,10,10),'Blood work'!$B1)</f>
        <v>48.725000000000001</v>
      </c>
      <c r="L3" s="41">
        <f>D15</f>
        <v>36.353219112612948</v>
      </c>
    </row>
    <row r="4" spans="1:12" ht="15.75" thickTop="1" x14ac:dyDescent="0.25">
      <c r="A4" s="10" t="s">
        <v>176</v>
      </c>
      <c r="B4" s="11" t="s">
        <v>177</v>
      </c>
      <c r="C4" s="12" t="s">
        <v>177</v>
      </c>
      <c r="D4" s="12" t="s">
        <v>177</v>
      </c>
      <c r="E4" s="12" t="s">
        <v>178</v>
      </c>
      <c r="F4" s="12" t="s">
        <v>179</v>
      </c>
      <c r="G4" s="12" t="s">
        <v>180</v>
      </c>
      <c r="H4" s="12" t="s">
        <v>179</v>
      </c>
      <c r="I4" s="12" t="s">
        <v>181</v>
      </c>
      <c r="J4" s="12" t="s">
        <v>182</v>
      </c>
      <c r="K4" s="12" t="s">
        <v>183</v>
      </c>
    </row>
    <row r="5" spans="1:12" x14ac:dyDescent="0.25">
      <c r="A5" s="13" t="s">
        <v>184</v>
      </c>
      <c r="B5" s="14">
        <v>10</v>
      </c>
      <c r="C5" s="14">
        <v>88.4</v>
      </c>
      <c r="D5" s="14">
        <v>5.5500000000000001E-2</v>
      </c>
      <c r="E5" s="14">
        <v>0.1</v>
      </c>
      <c r="F5" s="14"/>
      <c r="G5" s="14"/>
      <c r="H5" s="14"/>
      <c r="I5" s="14"/>
      <c r="J5" s="14"/>
      <c r="K5" s="14"/>
    </row>
    <row r="6" spans="1:12" x14ac:dyDescent="0.25">
      <c r="A6" s="15" t="s">
        <v>185</v>
      </c>
      <c r="B6" s="16">
        <f>B3*B5</f>
        <v>46</v>
      </c>
      <c r="C6" s="17">
        <f>C3*C5</f>
        <v>84</v>
      </c>
      <c r="D6" s="18">
        <f>D3*D5</f>
        <v>4.8</v>
      </c>
      <c r="E6" s="17">
        <f>LN(E3*E5)</f>
        <v>-3.2188758248682006</v>
      </c>
      <c r="F6" s="16">
        <f t="shared" ref="F6:K6" si="0">F3</f>
        <v>32.5</v>
      </c>
      <c r="G6" s="16">
        <f t="shared" si="0"/>
        <v>93.3</v>
      </c>
      <c r="H6" s="16">
        <f t="shared" si="0"/>
        <v>11.9</v>
      </c>
      <c r="I6" s="16">
        <f t="shared" si="0"/>
        <v>71</v>
      </c>
      <c r="J6" s="16">
        <f t="shared" si="0"/>
        <v>3.67</v>
      </c>
      <c r="K6" s="16">
        <f t="shared" si="0"/>
        <v>48.725000000000001</v>
      </c>
    </row>
    <row r="7" spans="1:12" x14ac:dyDescent="0.25">
      <c r="A7" s="10" t="s">
        <v>186</v>
      </c>
      <c r="B7" s="12" t="s">
        <v>187</v>
      </c>
      <c r="C7" s="19" t="s">
        <v>188</v>
      </c>
      <c r="D7" s="12" t="s">
        <v>189</v>
      </c>
      <c r="E7" s="12" t="s">
        <v>190</v>
      </c>
      <c r="F7" s="12" t="s">
        <v>179</v>
      </c>
      <c r="G7" s="12" t="s">
        <v>180</v>
      </c>
      <c r="H7" s="12" t="s">
        <v>179</v>
      </c>
      <c r="I7" s="12" t="s">
        <v>181</v>
      </c>
      <c r="J7" s="12" t="s">
        <v>182</v>
      </c>
      <c r="K7" s="12" t="s">
        <v>183</v>
      </c>
    </row>
    <row r="8" spans="1:12" x14ac:dyDescent="0.25">
      <c r="A8" s="13" t="s">
        <v>191</v>
      </c>
      <c r="B8" s="14">
        <v>-3.3599999999999998E-2</v>
      </c>
      <c r="C8" s="14">
        <v>9.4999999999999998E-3</v>
      </c>
      <c r="D8" s="14">
        <v>0.1953</v>
      </c>
      <c r="E8" s="14">
        <v>9.5399999999999999E-2</v>
      </c>
      <c r="F8" s="14">
        <v>-1.2E-2</v>
      </c>
      <c r="G8" s="14">
        <v>2.6800000000000001E-2</v>
      </c>
      <c r="H8" s="14">
        <v>0.3306</v>
      </c>
      <c r="I8" s="14">
        <v>1.9E-3</v>
      </c>
      <c r="J8" s="14">
        <v>5.5399999999999998E-2</v>
      </c>
      <c r="K8" s="14">
        <v>8.0399999999999999E-2</v>
      </c>
    </row>
    <row r="9" spans="1:12" x14ac:dyDescent="0.25">
      <c r="A9" s="20" t="s">
        <v>192</v>
      </c>
      <c r="B9" s="21">
        <f>B6*B8</f>
        <v>-1.5455999999999999</v>
      </c>
      <c r="C9" s="21">
        <f>C6*C8</f>
        <v>0.79799999999999993</v>
      </c>
      <c r="D9" s="21">
        <f t="shared" ref="D9:K9" si="1">D6*D8</f>
        <v>0.93743999999999994</v>
      </c>
      <c r="E9" s="21">
        <f t="shared" si="1"/>
        <v>-0.30708075369242632</v>
      </c>
      <c r="F9" s="21">
        <f t="shared" si="1"/>
        <v>-0.39</v>
      </c>
      <c r="G9" s="21">
        <f t="shared" si="1"/>
        <v>2.5004400000000002</v>
      </c>
      <c r="H9" s="21">
        <f t="shared" si="1"/>
        <v>3.9341400000000002</v>
      </c>
      <c r="I9" s="21">
        <f t="shared" si="1"/>
        <v>0.13489999999999999</v>
      </c>
      <c r="J9" s="21">
        <f t="shared" si="1"/>
        <v>0.203318</v>
      </c>
      <c r="K9" s="21">
        <f t="shared" si="1"/>
        <v>3.9174899999999999</v>
      </c>
    </row>
    <row r="10" spans="1:12" x14ac:dyDescent="0.25">
      <c r="A10" s="22" t="s">
        <v>193</v>
      </c>
      <c r="K10" s="23"/>
    </row>
    <row r="11" spans="1:12" x14ac:dyDescent="0.25">
      <c r="A11" s="24" t="s">
        <v>194</v>
      </c>
      <c r="B11" s="25">
        <v>10</v>
      </c>
      <c r="C11" s="25" t="s">
        <v>195</v>
      </c>
      <c r="D11" s="25">
        <f>B11*12</f>
        <v>120</v>
      </c>
      <c r="E11" s="25" t="s">
        <v>196</v>
      </c>
      <c r="K11" s="23"/>
    </row>
    <row r="12" spans="1:12" x14ac:dyDescent="0.25">
      <c r="A12" s="26" t="s">
        <v>197</v>
      </c>
      <c r="B12" s="14">
        <v>7.6927000000000002E-3</v>
      </c>
      <c r="C12" s="23"/>
      <c r="K12" s="23"/>
    </row>
    <row r="13" spans="1:12" x14ac:dyDescent="0.25">
      <c r="A13" s="27" t="s">
        <v>198</v>
      </c>
      <c r="B13" s="28">
        <v>-19.906700000000001</v>
      </c>
      <c r="C13" s="29"/>
      <c r="K13" s="23"/>
    </row>
    <row r="14" spans="1:12" ht="15.75" thickBot="1" x14ac:dyDescent="0.3">
      <c r="A14" s="30"/>
      <c r="B14" s="30" t="s">
        <v>199</v>
      </c>
      <c r="C14" s="30" t="s">
        <v>200</v>
      </c>
      <c r="D14" s="40" t="s">
        <v>201</v>
      </c>
      <c r="E14" s="30" t="s">
        <v>202</v>
      </c>
      <c r="F14" s="30" t="s">
        <v>203</v>
      </c>
      <c r="G14" s="31"/>
      <c r="H14" s="31"/>
      <c r="I14" s="31"/>
      <c r="J14" s="31"/>
      <c r="K14" s="32"/>
    </row>
    <row r="15" spans="1:12" ht="15.75" thickBot="1" x14ac:dyDescent="0.3">
      <c r="A15" s="33" t="s">
        <v>204</v>
      </c>
      <c r="B15" s="34">
        <f>B9+C9+D9+E9+F9+G9+H9+I9+J9+K9+B13</f>
        <v>-9.7236527536924271</v>
      </c>
      <c r="C15" s="38">
        <f>1-EXP(-EXP(B15)*(EXP(B12*D11)-1)/B12)</f>
        <v>1.1734321520562085E-2</v>
      </c>
      <c r="D15" s="41">
        <f>141.50225 + LN(-0.00553*LN(1 -C15))/0.09165</f>
        <v>36.353219112612948</v>
      </c>
      <c r="E15" s="39">
        <f>D15/(1+1.28047*EXP(0.0344329*(-182.344+D15)))</f>
        <v>36.05043638237472</v>
      </c>
      <c r="F15" s="35">
        <f>1 - EXP(-0.000520363523*EXP(0.090165*E15))</f>
        <v>1.3337158748772171E-2</v>
      </c>
      <c r="G15" s="36"/>
      <c r="H15" s="36"/>
      <c r="I15" s="36"/>
      <c r="J15" s="36"/>
      <c r="K15" s="37"/>
    </row>
    <row r="16" spans="1:12" ht="15.75" thickTop="1" x14ac:dyDescent="0.25"/>
  </sheetData>
  <mergeCells count="1">
    <mergeCell ref="A1:K1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FA0B-D96B-4F43-A4DF-871121363E4E}">
  <dimension ref="A1:H35"/>
  <sheetViews>
    <sheetView workbookViewId="0">
      <selection activeCell="B35" sqref="B35"/>
    </sheetView>
  </sheetViews>
  <sheetFormatPr defaultRowHeight="15" x14ac:dyDescent="0.25"/>
  <cols>
    <col min="1" max="1" width="44.28515625" bestFit="1" customWidth="1"/>
    <col min="2" max="2" width="13" customWidth="1"/>
    <col min="3" max="3" width="22.28515625" customWidth="1"/>
    <col min="4" max="4" width="9.140625" hidden="1" customWidth="1"/>
    <col min="5" max="5" width="48.28515625" hidden="1" customWidth="1"/>
    <col min="6" max="6" width="11" hidden="1" customWidth="1"/>
    <col min="7" max="7" width="18.7109375" hidden="1" customWidth="1"/>
    <col min="8" max="8" width="1" customWidth="1"/>
  </cols>
  <sheetData>
    <row r="1" spans="1:8" x14ac:dyDescent="0.25">
      <c r="A1" t="s">
        <v>435</v>
      </c>
      <c r="B1" s="52">
        <f>'Blood work'!$B1</f>
        <v>45474</v>
      </c>
      <c r="C1" s="1"/>
    </row>
    <row r="2" spans="1:8" x14ac:dyDescent="0.25">
      <c r="A2" t="s">
        <v>434</v>
      </c>
      <c r="B2" s="52">
        <v>27677</v>
      </c>
      <c r="C2" s="1"/>
    </row>
    <row r="3" spans="1:8" x14ac:dyDescent="0.25">
      <c r="A3" t="s">
        <v>433</v>
      </c>
      <c r="B3" s="52" t="s">
        <v>432</v>
      </c>
      <c r="C3" s="1"/>
    </row>
    <row r="5" spans="1:8" x14ac:dyDescent="0.25">
      <c r="A5" s="43" t="s">
        <v>239</v>
      </c>
      <c r="B5" s="43" t="s">
        <v>176</v>
      </c>
      <c r="C5" s="43"/>
    </row>
    <row r="6" spans="1:8" hidden="1" x14ac:dyDescent="0.25">
      <c r="A6" t="s">
        <v>431</v>
      </c>
      <c r="B6" t="s">
        <v>195</v>
      </c>
      <c r="D6">
        <f>YEARFRAC(B2,B1)</f>
        <v>48.725000000000001</v>
      </c>
      <c r="E6">
        <v>-2.5669127E-2</v>
      </c>
      <c r="F6">
        <v>56.048775200000001</v>
      </c>
      <c r="G6">
        <f t="shared" ref="G6:G31" si="0">(D6-F6)*E6</f>
        <v>0.18799491572825039</v>
      </c>
      <c r="H6">
        <f>G6</f>
        <v>0.18799491572825039</v>
      </c>
    </row>
    <row r="7" spans="1:8" x14ac:dyDescent="0.25">
      <c r="A7" t="s">
        <v>165</v>
      </c>
      <c r="B7" t="s">
        <v>238</v>
      </c>
      <c r="C7" s="47">
        <f>'Blood work'!$B183</f>
        <v>4.5999999999999996</v>
      </c>
      <c r="D7">
        <f>C7*10</f>
        <v>46</v>
      </c>
      <c r="E7">
        <v>-1.1331946000000001E-2</v>
      </c>
      <c r="F7">
        <v>45.123876299999999</v>
      </c>
      <c r="G7">
        <f t="shared" si="0"/>
        <v>-9.928186457720211E-3</v>
      </c>
      <c r="H7">
        <f t="shared" ref="H7:H31" si="1">IF(ISBLANK(C7),0,G7)</f>
        <v>-9.928186457720211E-3</v>
      </c>
    </row>
    <row r="8" spans="1:8" x14ac:dyDescent="0.25">
      <c r="A8" t="s">
        <v>237</v>
      </c>
      <c r="B8" t="s">
        <v>428</v>
      </c>
      <c r="C8" s="47">
        <f>'Blood work'!$B242</f>
        <v>71</v>
      </c>
      <c r="D8">
        <f>C8</f>
        <v>71</v>
      </c>
      <c r="E8">
        <v>1.6494599999999999E-3</v>
      </c>
      <c r="F8">
        <v>82.684797500000002</v>
      </c>
      <c r="G8">
        <f t="shared" si="0"/>
        <v>-1.9273606084350001E-2</v>
      </c>
      <c r="H8">
        <f t="shared" si="1"/>
        <v>-1.9273606084350001E-2</v>
      </c>
    </row>
    <row r="9" spans="1:8" x14ac:dyDescent="0.25">
      <c r="A9" t="s">
        <v>262</v>
      </c>
      <c r="B9" t="s">
        <v>177</v>
      </c>
      <c r="C9" s="48">
        <f>'Blood work'!$B213</f>
        <v>15.462259716484006</v>
      </c>
      <c r="D9">
        <f>C9*0.3571</f>
        <v>5.5215729447564383</v>
      </c>
      <c r="E9">
        <v>-2.9554871999999999E-2</v>
      </c>
      <c r="F9">
        <v>5.3547152000000002</v>
      </c>
      <c r="G9">
        <f t="shared" si="0"/>
        <v>-4.9314592884851993E-3</v>
      </c>
      <c r="H9">
        <f t="shared" si="1"/>
        <v>-4.9314592884851993E-3</v>
      </c>
    </row>
    <row r="10" spans="1:8" x14ac:dyDescent="0.25">
      <c r="A10" t="s">
        <v>254</v>
      </c>
      <c r="B10" t="s">
        <v>177</v>
      </c>
      <c r="C10" s="49">
        <f>'Blood work'!$B228</f>
        <v>142.0849420849421</v>
      </c>
      <c r="D10">
        <f>C10*0.02586</f>
        <v>3.674316602316603</v>
      </c>
      <c r="E10">
        <v>-8.0565600000000001E-2</v>
      </c>
      <c r="F10">
        <v>5.6177437000000001</v>
      </c>
      <c r="G10">
        <f t="shared" si="0"/>
        <v>0.1565733701811215</v>
      </c>
      <c r="H10">
        <f t="shared" si="1"/>
        <v>0.1565733701811215</v>
      </c>
    </row>
    <row r="11" spans="1:8" x14ac:dyDescent="0.25">
      <c r="A11" t="s">
        <v>166</v>
      </c>
      <c r="B11" t="s">
        <v>177</v>
      </c>
      <c r="C11" s="48">
        <f>'Blood work'!$B209</f>
        <v>0.95022624434389136</v>
      </c>
      <c r="D11">
        <f>C11*88.42</f>
        <v>84.019004524886881</v>
      </c>
      <c r="E11">
        <v>-1.095746E-2</v>
      </c>
      <c r="F11">
        <v>71.565605000000005</v>
      </c>
      <c r="G11">
        <f t="shared" si="0"/>
        <v>-0.13645762715796697</v>
      </c>
      <c r="H11">
        <f t="shared" si="1"/>
        <v>-0.13645762715796697</v>
      </c>
    </row>
    <row r="12" spans="1:8" x14ac:dyDescent="0.25">
      <c r="A12" t="s">
        <v>402</v>
      </c>
      <c r="B12" t="s">
        <v>178</v>
      </c>
      <c r="C12" s="47">
        <f>'Blood work'!$B371</f>
        <v>0.49</v>
      </c>
      <c r="D12">
        <f>C12</f>
        <v>0.49</v>
      </c>
      <c r="E12">
        <v>1.8595564360000001</v>
      </c>
      <c r="F12">
        <v>0.90094600000000002</v>
      </c>
      <c r="G12">
        <f t="shared" si="0"/>
        <v>-0.76417727914845612</v>
      </c>
      <c r="H12">
        <f t="shared" si="1"/>
        <v>-0.76417727914845612</v>
      </c>
    </row>
    <row r="13" spans="1:8" x14ac:dyDescent="0.25">
      <c r="A13" t="s">
        <v>430</v>
      </c>
      <c r="B13" t="s">
        <v>252</v>
      </c>
      <c r="C13" s="47">
        <f>'Blood work'!$B163</f>
        <v>4.5999999999999996</v>
      </c>
      <c r="D13">
        <f>(C13-2.152)/0.09148</f>
        <v>26.759947529514641</v>
      </c>
      <c r="E13">
        <v>1.8116674999999999E-2</v>
      </c>
      <c r="F13">
        <v>35.478571100000003</v>
      </c>
      <c r="G13">
        <f t="shared" si="0"/>
        <v>-0.1579524696738229</v>
      </c>
      <c r="H13">
        <f t="shared" si="1"/>
        <v>-0.1579524696738229</v>
      </c>
    </row>
    <row r="14" spans="1:8" x14ac:dyDescent="0.25">
      <c r="A14" t="s">
        <v>168</v>
      </c>
      <c r="B14" t="s">
        <v>178</v>
      </c>
      <c r="C14" s="47">
        <v>0.4</v>
      </c>
      <c r="D14">
        <f>LN(C14)</f>
        <v>-0.916290731874155</v>
      </c>
      <c r="E14">
        <v>7.9109916000000002E-2</v>
      </c>
      <c r="F14">
        <v>0.30036239999999997</v>
      </c>
      <c r="G14">
        <f t="shared" si="0"/>
        <v>-9.6249327063701318E-2</v>
      </c>
      <c r="H14">
        <f t="shared" si="1"/>
        <v>-9.6249327063701318E-2</v>
      </c>
    </row>
    <row r="15" spans="1:8" x14ac:dyDescent="0.25">
      <c r="A15" t="s">
        <v>429</v>
      </c>
      <c r="B15" t="s">
        <v>428</v>
      </c>
      <c r="C15" s="47">
        <f>'Blood work'!$B195</f>
        <v>18</v>
      </c>
      <c r="D15">
        <f>LN(C15)</f>
        <v>2.8903717578961645</v>
      </c>
      <c r="E15">
        <v>0.26555031099999998</v>
      </c>
      <c r="F15">
        <v>3.3795613000000002</v>
      </c>
      <c r="G15">
        <f t="shared" si="0"/>
        <v>-0.12990443504362115</v>
      </c>
      <c r="H15">
        <f t="shared" si="1"/>
        <v>-0.12990443504362115</v>
      </c>
    </row>
    <row r="16" spans="1:8" ht="17.25" x14ac:dyDescent="0.25">
      <c r="A16" t="s">
        <v>251</v>
      </c>
      <c r="B16" t="s">
        <v>427</v>
      </c>
      <c r="C16" s="47">
        <f>'Blood work'!$B$84</f>
        <v>3.83</v>
      </c>
      <c r="D16">
        <f>C16</f>
        <v>3.83</v>
      </c>
      <c r="E16">
        <v>-0.20444215299999999</v>
      </c>
      <c r="F16">
        <v>4.4994648000000002</v>
      </c>
      <c r="G16">
        <f t="shared" si="0"/>
        <v>0.1368668250697144</v>
      </c>
      <c r="H16">
        <f t="shared" si="1"/>
        <v>0.1368668250697144</v>
      </c>
    </row>
    <row r="17" spans="1:8" x14ac:dyDescent="0.25">
      <c r="A17" t="s">
        <v>264</v>
      </c>
      <c r="B17" t="s">
        <v>180</v>
      </c>
      <c r="C17" s="47">
        <f>'Blood work'!$B88</f>
        <v>93.3</v>
      </c>
      <c r="D17">
        <f>C17</f>
        <v>93.3</v>
      </c>
      <c r="E17">
        <v>1.7165356E-2</v>
      </c>
      <c r="F17">
        <v>91.925109899999995</v>
      </c>
      <c r="G17">
        <f t="shared" si="0"/>
        <v>2.3600478027375631E-2</v>
      </c>
      <c r="H17">
        <f t="shared" si="1"/>
        <v>2.3600478027375631E-2</v>
      </c>
    </row>
    <row r="18" spans="1:8" x14ac:dyDescent="0.25">
      <c r="A18" t="s">
        <v>265</v>
      </c>
      <c r="B18" t="s">
        <v>179</v>
      </c>
      <c r="C18" s="47">
        <f>'Blood work'!$B92</f>
        <v>11.9</v>
      </c>
      <c r="D18">
        <f>C18</f>
        <v>11.9</v>
      </c>
      <c r="E18">
        <v>0.20200989499999999</v>
      </c>
      <c r="F18">
        <v>13.4342296</v>
      </c>
      <c r="G18">
        <f t="shared" si="0"/>
        <v>-0.30992956040189196</v>
      </c>
      <c r="H18">
        <f t="shared" si="1"/>
        <v>-0.30992956040189196</v>
      </c>
    </row>
    <row r="19" spans="1:8" x14ac:dyDescent="0.25">
      <c r="A19" t="s">
        <v>263</v>
      </c>
      <c r="B19" t="s">
        <v>275</v>
      </c>
      <c r="C19" s="47">
        <f>'Blood work'!$B$141</f>
        <v>280</v>
      </c>
      <c r="D19">
        <f>C19/1000</f>
        <v>0.28000000000000003</v>
      </c>
      <c r="E19">
        <v>0.36937313999999999</v>
      </c>
      <c r="F19">
        <v>0.47469869999999997</v>
      </c>
      <c r="G19">
        <f t="shared" si="0"/>
        <v>-7.1916470172917982E-2</v>
      </c>
      <c r="H19">
        <f t="shared" si="1"/>
        <v>-7.1916470172917982E-2</v>
      </c>
    </row>
    <row r="20" spans="1:8" x14ac:dyDescent="0.25">
      <c r="A20" t="s">
        <v>259</v>
      </c>
      <c r="B20" t="s">
        <v>275</v>
      </c>
      <c r="C20" s="47">
        <f>'Blood work'!$B$135</f>
        <v>2120</v>
      </c>
      <c r="D20">
        <f>C20/1000</f>
        <v>2.12</v>
      </c>
      <c r="E20">
        <v>6.6790920000000004E-2</v>
      </c>
      <c r="F20">
        <v>4.1849454000000001</v>
      </c>
      <c r="G20">
        <f t="shared" si="0"/>
        <v>-0.137919603015768</v>
      </c>
      <c r="H20">
        <f t="shared" si="1"/>
        <v>-0.137919603015768</v>
      </c>
    </row>
    <row r="21" spans="1:8" x14ac:dyDescent="0.25">
      <c r="A21" t="s">
        <v>267</v>
      </c>
      <c r="B21" t="s">
        <v>179</v>
      </c>
      <c r="C21" s="47">
        <f>'Blood work'!$B121</f>
        <v>32.5</v>
      </c>
      <c r="D21">
        <f>C21</f>
        <v>32.5</v>
      </c>
      <c r="E21">
        <v>-1.08158E-2</v>
      </c>
      <c r="F21">
        <v>28.5817604</v>
      </c>
      <c r="G21">
        <f t="shared" si="0"/>
        <v>-4.237889586568E-2</v>
      </c>
      <c r="H21">
        <f t="shared" si="1"/>
        <v>-4.237889586568E-2</v>
      </c>
    </row>
    <row r="22" spans="1:8" x14ac:dyDescent="0.25">
      <c r="A22" t="s">
        <v>426</v>
      </c>
      <c r="B22" t="s">
        <v>180</v>
      </c>
      <c r="C22" s="47"/>
      <c r="D22">
        <f>C22</f>
        <v>0</v>
      </c>
      <c r="E22">
        <v>6.736204E-3</v>
      </c>
      <c r="F22">
        <v>83.6363269</v>
      </c>
      <c r="G22">
        <f t="shared" si="0"/>
        <v>-0.56339135980908761</v>
      </c>
      <c r="H22">
        <f t="shared" si="1"/>
        <v>0</v>
      </c>
    </row>
    <row r="23" spans="1:8" x14ac:dyDescent="0.25">
      <c r="A23" t="s">
        <v>258</v>
      </c>
      <c r="B23" t="s">
        <v>181</v>
      </c>
      <c r="C23" s="47">
        <f>'Blood work'!$B$175</f>
        <v>30</v>
      </c>
      <c r="D23">
        <f>LN(C23)</f>
        <v>3.4011973816621555</v>
      </c>
      <c r="E23">
        <v>-0.312442261</v>
      </c>
      <c r="F23">
        <v>3.077868</v>
      </c>
      <c r="G23">
        <f t="shared" si="0"/>
        <v>-0.10102176305425578</v>
      </c>
      <c r="H23">
        <f t="shared" si="1"/>
        <v>-0.10102176305425578</v>
      </c>
    </row>
    <row r="24" spans="1:8" x14ac:dyDescent="0.25">
      <c r="A24" t="s">
        <v>425</v>
      </c>
      <c r="B24" t="s">
        <v>424</v>
      </c>
      <c r="C24" s="47">
        <f>'Blood work'!$B315</f>
        <v>52.7</v>
      </c>
      <c r="D24">
        <f>LN(C24)</f>
        <v>3.9646154555473165</v>
      </c>
      <c r="E24">
        <v>0.29232318600000001</v>
      </c>
      <c r="F24">
        <v>3.8202786999999998</v>
      </c>
      <c r="G24">
        <f t="shared" si="0"/>
        <v>4.2192980238494805E-2</v>
      </c>
      <c r="H24">
        <f t="shared" si="1"/>
        <v>4.2192980238494805E-2</v>
      </c>
    </row>
    <row r="25" spans="1:8" x14ac:dyDescent="0.25">
      <c r="A25" t="s">
        <v>423</v>
      </c>
      <c r="B25" t="s">
        <v>422</v>
      </c>
      <c r="C25" s="47">
        <f>'Blood work'!$B327</f>
        <v>55.7</v>
      </c>
      <c r="D25">
        <f>LN(C25*2.496)</f>
        <v>4.9346695974404193</v>
      </c>
      <c r="E25">
        <v>-0.26546786700000002</v>
      </c>
      <c r="F25">
        <v>3.6052878000000002</v>
      </c>
      <c r="G25">
        <f t="shared" si="0"/>
        <v>-0.35290815019513416</v>
      </c>
      <c r="H25">
        <f t="shared" si="1"/>
        <v>-0.35290815019513416</v>
      </c>
    </row>
    <row r="26" spans="1:8" x14ac:dyDescent="0.25">
      <c r="A26" t="s">
        <v>421</v>
      </c>
      <c r="B26" t="s">
        <v>252</v>
      </c>
      <c r="C26" s="47"/>
      <c r="D26">
        <f>C26</f>
        <v>0</v>
      </c>
      <c r="E26">
        <v>0.16923416499999999</v>
      </c>
      <c r="F26">
        <v>0.39881519999999998</v>
      </c>
      <c r="G26">
        <f t="shared" si="0"/>
        <v>-6.7493157361307995E-2</v>
      </c>
      <c r="H26">
        <f t="shared" si="1"/>
        <v>0</v>
      </c>
    </row>
    <row r="27" spans="1:8" x14ac:dyDescent="0.25">
      <c r="A27" t="s">
        <v>236</v>
      </c>
      <c r="B27" t="s">
        <v>177</v>
      </c>
      <c r="C27" s="48">
        <f>'Blood work'!$B200</f>
        <v>86.486486486486484</v>
      </c>
      <c r="D27">
        <f>C27*0.0555</f>
        <v>4.8</v>
      </c>
      <c r="E27">
        <v>3.2171478000000003E-2</v>
      </c>
      <c r="F27">
        <v>4.9563053999999998</v>
      </c>
      <c r="G27">
        <f t="shared" si="0"/>
        <v>-5.0285757373811982E-3</v>
      </c>
      <c r="H27">
        <f t="shared" si="1"/>
        <v>-5.0285757373811982E-3</v>
      </c>
    </row>
    <row r="28" spans="1:8" x14ac:dyDescent="0.25">
      <c r="A28" t="s">
        <v>420</v>
      </c>
      <c r="B28" t="s">
        <v>252</v>
      </c>
      <c r="C28" s="47"/>
      <c r="D28">
        <f>C28</f>
        <v>0</v>
      </c>
      <c r="E28">
        <v>7.1527710999999994E-2</v>
      </c>
      <c r="F28">
        <v>16.454357600000002</v>
      </c>
      <c r="G28">
        <f t="shared" si="0"/>
        <v>-1.1769425351034537</v>
      </c>
      <c r="H28">
        <f t="shared" si="1"/>
        <v>0</v>
      </c>
    </row>
    <row r="29" spans="1:8" x14ac:dyDescent="0.25">
      <c r="A29" t="s">
        <v>419</v>
      </c>
      <c r="B29" t="s">
        <v>418</v>
      </c>
      <c r="C29" s="47"/>
      <c r="D29">
        <f>C29</f>
        <v>0</v>
      </c>
      <c r="E29">
        <v>2.7464869999999999E-2</v>
      </c>
      <c r="F29">
        <v>31.8396206</v>
      </c>
      <c r="G29">
        <f t="shared" si="0"/>
        <v>-0.87447104062832193</v>
      </c>
      <c r="H29">
        <f t="shared" si="1"/>
        <v>0</v>
      </c>
    </row>
    <row r="30" spans="1:8" x14ac:dyDescent="0.25">
      <c r="A30" t="s">
        <v>417</v>
      </c>
      <c r="B30" t="s">
        <v>252</v>
      </c>
      <c r="C30" s="47"/>
      <c r="D30">
        <f>C30</f>
        <v>0</v>
      </c>
      <c r="E30">
        <v>-1.329561046</v>
      </c>
      <c r="F30">
        <v>0.23853959999999999</v>
      </c>
      <c r="G30">
        <f t="shared" si="0"/>
        <v>0.31715296008842159</v>
      </c>
      <c r="H30">
        <f t="shared" si="1"/>
        <v>0</v>
      </c>
    </row>
    <row r="31" spans="1:8" x14ac:dyDescent="0.25">
      <c r="A31" t="s">
        <v>416</v>
      </c>
      <c r="B31" t="s">
        <v>177</v>
      </c>
      <c r="C31" s="47">
        <f>'Blood work'!$B378</f>
        <v>152</v>
      </c>
      <c r="D31">
        <f>C31/100</f>
        <v>1.52</v>
      </c>
      <c r="E31">
        <v>-0.18513939500000001</v>
      </c>
      <c r="F31">
        <v>1.5238771</v>
      </c>
      <c r="G31">
        <f t="shared" si="0"/>
        <v>7.1780394835449393E-4</v>
      </c>
      <c r="H31">
        <f t="shared" si="1"/>
        <v>7.1780394835449393E-4</v>
      </c>
    </row>
    <row r="32" spans="1:8" x14ac:dyDescent="0.25">
      <c r="G32">
        <f>SUM(G6:G31)*10</f>
        <v>-41.571761679815907</v>
      </c>
      <c r="H32">
        <f>SUM(H6:H31)*10</f>
        <v>-17.920310351678417</v>
      </c>
    </row>
    <row r="33" spans="1:2" x14ac:dyDescent="0.25">
      <c r="A33" t="s">
        <v>415</v>
      </c>
      <c r="B33" s="51">
        <f>D6</f>
        <v>48.725000000000001</v>
      </c>
    </row>
    <row r="34" spans="1:2" x14ac:dyDescent="0.25">
      <c r="A34" t="s">
        <v>414</v>
      </c>
      <c r="B34" s="51">
        <f>H32</f>
        <v>-17.920310351678417</v>
      </c>
    </row>
    <row r="35" spans="1:2" x14ac:dyDescent="0.25">
      <c r="A35" t="s">
        <v>413</v>
      </c>
      <c r="B35" s="51">
        <f>B33+B34</f>
        <v>30.804689648321585</v>
      </c>
    </row>
  </sheetData>
  <dataValidations disablePrompts="1" count="1">
    <dataValidation type="list" allowBlank="1" showInputMessage="1" showErrorMessage="1" sqref="B3" xr:uid="{6AD59854-AB1E-4177-A6DC-B7C1AA66BB6E}">
      <formula1>"M"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Blood work</vt:lpstr>
      <vt:lpstr>Amino</vt:lpstr>
      <vt:lpstr>Analysis</vt:lpstr>
      <vt:lpstr>page</vt:lpstr>
      <vt:lpstr>enc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2021-07-04T13:14:21Z</dcterms:created>
  <dcterms:modified xsi:type="dcterms:W3CDTF">2024-07-06T13:29:53Z</dcterms:modified>
</cp:coreProperties>
</file>