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11A43B6A-88BA-4D64-834F-508256A5C884}" xr6:coauthVersionLast="47" xr6:coauthVersionMax="47" xr10:uidLastSave="{00000000-0000-0000-0000-000000000000}"/>
  <bookViews>
    <workbookView xWindow="30810" yWindow="4590" windowWidth="23940" windowHeight="23730" xr2:uid="{4CD5D8A7-3BB9-48B8-ADBB-2580DF5B92C0}"/>
  </bookViews>
  <sheets>
    <sheet name="Blood work" sheetId="1" r:id="rId1"/>
    <sheet name="Amino" sheetId="5" r:id="rId2"/>
    <sheet name="Analysis" sheetId="6" r:id="rId3"/>
    <sheet name="page" sheetId="2" r:id="rId4"/>
    <sheet name="enc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1" i="1"/>
  <c r="B6" i="1"/>
  <c r="B379" i="1"/>
  <c r="B385" i="1"/>
  <c r="B216" i="1"/>
  <c r="B209" i="1"/>
  <c r="B183" i="1"/>
  <c r="B296" i="1"/>
  <c r="B291" i="1"/>
  <c r="B237" i="1"/>
  <c r="B233" i="1"/>
  <c r="B229" i="1"/>
  <c r="B222" i="1"/>
  <c r="B213" i="1"/>
  <c r="B200" i="1"/>
  <c r="M385" i="1"/>
  <c r="O216" i="1"/>
  <c r="P216" i="1"/>
  <c r="AE301" i="1"/>
  <c r="I301" i="1"/>
  <c r="I275" i="1"/>
  <c r="D172" i="1"/>
  <c r="D169" i="1"/>
  <c r="I179" i="1"/>
  <c r="I180" i="1"/>
  <c r="C382" i="1"/>
  <c r="C3" i="6"/>
  <c r="C2" i="6"/>
  <c r="C36" i="6"/>
  <c r="B3" i="6"/>
  <c r="B2" i="6"/>
  <c r="A1" i="6"/>
  <c r="C25" i="7"/>
  <c r="D25" i="7" s="1"/>
  <c r="G25" i="7" s="1"/>
  <c r="H25" i="7" s="1"/>
  <c r="C24" i="7"/>
  <c r="D24" i="7" s="1"/>
  <c r="G24" i="7" s="1"/>
  <c r="H24" i="7" s="1"/>
  <c r="C15" i="7"/>
  <c r="D15" i="7" s="1"/>
  <c r="G15" i="7" s="1"/>
  <c r="H15" i="7" s="1"/>
  <c r="C13" i="7"/>
  <c r="D13" i="7" s="1"/>
  <c r="G13" i="7" s="1"/>
  <c r="H13" i="7" s="1"/>
  <c r="C12" i="7"/>
  <c r="D12" i="7" s="1"/>
  <c r="G12" i="7" s="1"/>
  <c r="H12" i="7" s="1"/>
  <c r="B1" i="7"/>
  <c r="K3" i="2"/>
  <c r="C175" i="1"/>
  <c r="C32" i="6" s="1"/>
  <c r="C408" i="1"/>
  <c r="C379" i="1"/>
  <c r="C31" i="7" s="1"/>
  <c r="C359" i="1"/>
  <c r="C356" i="1"/>
  <c r="C348" i="1"/>
  <c r="C345" i="1"/>
  <c r="C330" i="1"/>
  <c r="C329" i="1"/>
  <c r="C317" i="1"/>
  <c r="C301" i="1"/>
  <c r="C298" i="1"/>
  <c r="C296" i="1"/>
  <c r="C291" i="1"/>
  <c r="C285" i="1"/>
  <c r="C284" i="1"/>
  <c r="C281" i="1"/>
  <c r="C280" i="1"/>
  <c r="C275" i="1"/>
  <c r="C265" i="1"/>
  <c r="C257" i="1"/>
  <c r="C18" i="6" s="1"/>
  <c r="C254" i="1"/>
  <c r="C253" i="1"/>
  <c r="C25" i="6" s="1"/>
  <c r="C249" i="1"/>
  <c r="C24" i="6" s="1"/>
  <c r="C243" i="1"/>
  <c r="I3" i="2" s="1"/>
  <c r="C237" i="1"/>
  <c r="C23" i="6" s="1"/>
  <c r="C233" i="1"/>
  <c r="C234" i="1" s="1"/>
  <c r="C229" i="1"/>
  <c r="C230" i="1" s="1"/>
  <c r="C222" i="1"/>
  <c r="C224" i="1" s="1"/>
  <c r="C219" i="1"/>
  <c r="C17" i="6" s="1"/>
  <c r="C213" i="1"/>
  <c r="C15" i="6" s="1"/>
  <c r="C209" i="1"/>
  <c r="C11" i="7" s="1"/>
  <c r="C200" i="1"/>
  <c r="C202" i="1" s="1"/>
  <c r="C196" i="1"/>
  <c r="C189" i="1"/>
  <c r="C20" i="6" s="1"/>
  <c r="C183" i="1"/>
  <c r="C185" i="1" s="1"/>
  <c r="C180" i="1"/>
  <c r="C179" i="1"/>
  <c r="C31" i="6" s="1"/>
  <c r="C176" i="1"/>
  <c r="C172" i="1"/>
  <c r="C169" i="1"/>
  <c r="C166" i="1"/>
  <c r="C164" i="1"/>
  <c r="C161" i="1"/>
  <c r="C160" i="1"/>
  <c r="C9" i="6" s="1"/>
  <c r="C154" i="1"/>
  <c r="C30" i="6" s="1"/>
  <c r="C147" i="1"/>
  <c r="C144" i="1"/>
  <c r="C141" i="1"/>
  <c r="C35" i="6" s="1"/>
  <c r="C138" i="1"/>
  <c r="C34" i="6" s="1"/>
  <c r="C135" i="1"/>
  <c r="C33" i="6" s="1"/>
  <c r="C131" i="1"/>
  <c r="C128" i="1"/>
  <c r="C125" i="1"/>
  <c r="C121" i="1"/>
  <c r="C21" i="7" s="1"/>
  <c r="C117" i="1"/>
  <c r="C109" i="1"/>
  <c r="C14" i="6" s="1"/>
  <c r="C106" i="1"/>
  <c r="C28" i="6" s="1"/>
  <c r="C102" i="1"/>
  <c r="C27" i="6" s="1"/>
  <c r="C98" i="1"/>
  <c r="C92" i="1"/>
  <c r="C12" i="6" s="1"/>
  <c r="C88" i="1"/>
  <c r="C11" i="6" s="1"/>
  <c r="C84" i="1"/>
  <c r="C16" i="7" s="1"/>
  <c r="C81" i="1"/>
  <c r="C19" i="6" s="1"/>
  <c r="C77" i="1"/>
  <c r="C26" i="6" s="1"/>
  <c r="C25" i="1"/>
  <c r="C11" i="1"/>
  <c r="C6" i="1"/>
  <c r="D408" i="1"/>
  <c r="D200" i="1"/>
  <c r="D6" i="7"/>
  <c r="G6" i="7" s="1"/>
  <c r="H408" i="1"/>
  <c r="H379" i="1"/>
  <c r="H359" i="1"/>
  <c r="H356" i="1"/>
  <c r="H348" i="1"/>
  <c r="H345" i="1"/>
  <c r="H330" i="1"/>
  <c r="H329" i="1"/>
  <c r="H317" i="1"/>
  <c r="H301" i="1"/>
  <c r="H298" i="1"/>
  <c r="H296" i="1"/>
  <c r="H291" i="1"/>
  <c r="H285" i="1"/>
  <c r="H284" i="1"/>
  <c r="H281" i="1"/>
  <c r="H280" i="1"/>
  <c r="H275" i="1"/>
  <c r="H265" i="1"/>
  <c r="H257" i="1"/>
  <c r="H254" i="1"/>
  <c r="H253" i="1"/>
  <c r="H249" i="1"/>
  <c r="H243" i="1"/>
  <c r="H237" i="1"/>
  <c r="H233" i="1"/>
  <c r="H229" i="1"/>
  <c r="H230" i="1" s="1"/>
  <c r="H222" i="1"/>
  <c r="H224" i="1" s="1"/>
  <c r="H219" i="1"/>
  <c r="H213" i="1"/>
  <c r="H209" i="1"/>
  <c r="H200" i="1"/>
  <c r="H202" i="1" s="1"/>
  <c r="H196" i="1"/>
  <c r="H189" i="1"/>
  <c r="H183" i="1"/>
  <c r="H185" i="1" s="1"/>
  <c r="H180" i="1"/>
  <c r="H179" i="1"/>
  <c r="H176" i="1"/>
  <c r="H175" i="1"/>
  <c r="H172" i="1"/>
  <c r="H169" i="1"/>
  <c r="H166" i="1"/>
  <c r="H164" i="1"/>
  <c r="H161" i="1"/>
  <c r="H160" i="1"/>
  <c r="H154" i="1"/>
  <c r="H147" i="1"/>
  <c r="H144" i="1"/>
  <c r="H141" i="1"/>
  <c r="H138" i="1"/>
  <c r="H135" i="1"/>
  <c r="H131" i="1"/>
  <c r="H128" i="1"/>
  <c r="H125" i="1"/>
  <c r="H121" i="1"/>
  <c r="H117" i="1"/>
  <c r="H109" i="1"/>
  <c r="H106" i="1"/>
  <c r="H102" i="1"/>
  <c r="H98" i="1"/>
  <c r="H92" i="1"/>
  <c r="H88" i="1"/>
  <c r="H84" i="1"/>
  <c r="H81" i="1"/>
  <c r="H77" i="1"/>
  <c r="H25" i="1"/>
  <c r="H11" i="1"/>
  <c r="H6" i="1"/>
  <c r="L298" i="1"/>
  <c r="M298" i="1"/>
  <c r="N298" i="1"/>
  <c r="P298" i="1"/>
  <c r="Q298" i="1"/>
  <c r="R298" i="1"/>
  <c r="S298" i="1"/>
  <c r="T298" i="1"/>
  <c r="U298" i="1"/>
  <c r="V298" i="1"/>
  <c r="J298" i="1"/>
  <c r="J379" i="1"/>
  <c r="J408" i="1"/>
  <c r="J359" i="1"/>
  <c r="J356" i="1"/>
  <c r="J348" i="1"/>
  <c r="J345" i="1"/>
  <c r="J330" i="1"/>
  <c r="J329" i="1"/>
  <c r="J317" i="1"/>
  <c r="J301" i="1"/>
  <c r="J296" i="1"/>
  <c r="J291" i="1"/>
  <c r="J285" i="1"/>
  <c r="J284" i="1"/>
  <c r="J281" i="1"/>
  <c r="J280" i="1"/>
  <c r="J275" i="1"/>
  <c r="J265" i="1"/>
  <c r="J257" i="1"/>
  <c r="J254" i="1"/>
  <c r="J253" i="1"/>
  <c r="J249" i="1"/>
  <c r="J243" i="1"/>
  <c r="J237" i="1"/>
  <c r="J233" i="1"/>
  <c r="J234" i="1" s="1"/>
  <c r="J229" i="1"/>
  <c r="J230" i="1" s="1"/>
  <c r="J222" i="1"/>
  <c r="J224" i="1" s="1"/>
  <c r="J219" i="1"/>
  <c r="J213" i="1"/>
  <c r="J209" i="1"/>
  <c r="J200" i="1"/>
  <c r="J202" i="1" s="1"/>
  <c r="J196" i="1"/>
  <c r="J189" i="1"/>
  <c r="J183" i="1"/>
  <c r="J185" i="1" s="1"/>
  <c r="J180" i="1"/>
  <c r="J179" i="1"/>
  <c r="J176" i="1"/>
  <c r="J175" i="1"/>
  <c r="J172" i="1"/>
  <c r="J169" i="1"/>
  <c r="J166" i="1"/>
  <c r="J164" i="1"/>
  <c r="J161" i="1"/>
  <c r="J160" i="1"/>
  <c r="J154" i="1"/>
  <c r="J147" i="1"/>
  <c r="J144" i="1"/>
  <c r="J141" i="1"/>
  <c r="J138" i="1"/>
  <c r="J135" i="1"/>
  <c r="J131" i="1"/>
  <c r="J128" i="1"/>
  <c r="J125" i="1"/>
  <c r="J121" i="1"/>
  <c r="J117" i="1"/>
  <c r="J109" i="1"/>
  <c r="J106" i="1"/>
  <c r="J102" i="1"/>
  <c r="J98" i="1"/>
  <c r="J92" i="1"/>
  <c r="J88" i="1"/>
  <c r="J84" i="1"/>
  <c r="J81" i="1"/>
  <c r="J77" i="1"/>
  <c r="J25" i="1"/>
  <c r="J11" i="1"/>
  <c r="J6" i="1"/>
  <c r="D14" i="7"/>
  <c r="G14" i="7" s="1"/>
  <c r="H14" i="7" s="1"/>
  <c r="D22" i="7"/>
  <c r="G22" i="7" s="1"/>
  <c r="H22" i="7" s="1"/>
  <c r="D26" i="7"/>
  <c r="G26" i="7" s="1"/>
  <c r="H26" i="7" s="1"/>
  <c r="D28" i="7"/>
  <c r="G28" i="7" s="1"/>
  <c r="H28" i="7" s="1"/>
  <c r="D29" i="7"/>
  <c r="G29" i="7" s="1"/>
  <c r="H29" i="7" s="1"/>
  <c r="D30" i="7"/>
  <c r="G30" i="7" s="1"/>
  <c r="H30" i="7" s="1"/>
  <c r="B3" i="2" l="1"/>
  <c r="C7" i="6"/>
  <c r="C16" i="6"/>
  <c r="C3" i="2"/>
  <c r="C23" i="7"/>
  <c r="C19" i="7"/>
  <c r="C7" i="7"/>
  <c r="C21" i="6"/>
  <c r="D3" i="2"/>
  <c r="C29" i="6"/>
  <c r="F3" i="2"/>
  <c r="C8" i="7"/>
  <c r="C18" i="7"/>
  <c r="C20" i="7"/>
  <c r="C10" i="6"/>
  <c r="C22" i="6"/>
  <c r="C17" i="7"/>
  <c r="C8" i="6"/>
  <c r="G3" i="2"/>
  <c r="C9" i="7"/>
  <c r="H3" i="2"/>
  <c r="C10" i="7"/>
  <c r="C13" i="6"/>
  <c r="J3" i="2"/>
  <c r="C27" i="7"/>
  <c r="C6" i="6"/>
  <c r="C27" i="1"/>
  <c r="C226" i="1"/>
  <c r="H234" i="1"/>
  <c r="H226" i="1" s="1"/>
  <c r="D31" i="7"/>
  <c r="G31" i="7" s="1"/>
  <c r="H31" i="7" s="1"/>
  <c r="H27" i="1"/>
  <c r="J27" i="1"/>
  <c r="J226" i="1"/>
  <c r="H6" i="7"/>
  <c r="B33" i="7"/>
  <c r="K408" i="1"/>
  <c r="K77" i="1"/>
  <c r="K81" i="1"/>
  <c r="K84" i="1"/>
  <c r="K88" i="1"/>
  <c r="K92" i="1"/>
  <c r="K98" i="1"/>
  <c r="K102" i="1"/>
  <c r="K106" i="1"/>
  <c r="K109" i="1"/>
  <c r="K117" i="1"/>
  <c r="K121" i="1"/>
  <c r="K125" i="1"/>
  <c r="K128" i="1"/>
  <c r="K131" i="1"/>
  <c r="K135" i="1"/>
  <c r="K138" i="1"/>
  <c r="K141" i="1"/>
  <c r="K144" i="1"/>
  <c r="K147" i="1"/>
  <c r="K253" i="1"/>
  <c r="K254" i="1"/>
  <c r="K257" i="1"/>
  <c r="K265" i="1"/>
  <c r="K275" i="1"/>
  <c r="K301" i="1"/>
  <c r="B1" i="6"/>
  <c r="K6" i="2"/>
  <c r="K9" i="2" s="1"/>
  <c r="L408" i="1"/>
  <c r="L14" i="1"/>
  <c r="L359" i="1"/>
  <c r="L356" i="1"/>
  <c r="L348" i="1"/>
  <c r="L345" i="1"/>
  <c r="L330" i="1"/>
  <c r="L329" i="1"/>
  <c r="L301" i="1"/>
  <c r="L296" i="1"/>
  <c r="L291" i="1"/>
  <c r="L285" i="1"/>
  <c r="L284" i="1"/>
  <c r="L281" i="1"/>
  <c r="L280" i="1"/>
  <c r="L275" i="1"/>
  <c r="L265" i="1"/>
  <c r="L257" i="1"/>
  <c r="L254" i="1"/>
  <c r="L253" i="1"/>
  <c r="L249" i="1"/>
  <c r="L243" i="1"/>
  <c r="L237" i="1"/>
  <c r="L233" i="1"/>
  <c r="L234" i="1" s="1"/>
  <c r="L229" i="1"/>
  <c r="L222" i="1"/>
  <c r="L224" i="1" s="1"/>
  <c r="L219" i="1"/>
  <c r="L213" i="1"/>
  <c r="L209" i="1"/>
  <c r="L200" i="1"/>
  <c r="L189" i="1"/>
  <c r="L183" i="1"/>
  <c r="L180" i="1"/>
  <c r="L179" i="1"/>
  <c r="L176" i="1"/>
  <c r="L175" i="1"/>
  <c r="L172" i="1"/>
  <c r="L169" i="1"/>
  <c r="L161" i="1"/>
  <c r="L160" i="1"/>
  <c r="L154" i="1"/>
  <c r="L144" i="1"/>
  <c r="L141" i="1"/>
  <c r="L138" i="1"/>
  <c r="L135" i="1"/>
  <c r="L128" i="1"/>
  <c r="L125" i="1"/>
  <c r="L121" i="1"/>
  <c r="L117" i="1"/>
  <c r="L109" i="1"/>
  <c r="L106" i="1"/>
  <c r="L102" i="1"/>
  <c r="L98" i="1"/>
  <c r="L92" i="1"/>
  <c r="L88" i="1"/>
  <c r="L84" i="1"/>
  <c r="L81" i="1"/>
  <c r="L77" i="1"/>
  <c r="L72" i="1"/>
  <c r="L70" i="1"/>
  <c r="L25" i="1"/>
  <c r="L20" i="1"/>
  <c r="L17" i="1"/>
  <c r="L11" i="1"/>
  <c r="L6" i="1"/>
  <c r="L3" i="1"/>
  <c r="M408" i="1"/>
  <c r="M359" i="1"/>
  <c r="M356" i="1"/>
  <c r="M348" i="1"/>
  <c r="M345" i="1"/>
  <c r="M330" i="1"/>
  <c r="M329" i="1"/>
  <c r="M310" i="1"/>
  <c r="M301" i="1"/>
  <c r="M296" i="1"/>
  <c r="M291" i="1"/>
  <c r="M285" i="1"/>
  <c r="M284" i="1"/>
  <c r="M281" i="1"/>
  <c r="M280" i="1"/>
  <c r="M275" i="1"/>
  <c r="M265" i="1"/>
  <c r="M257" i="1"/>
  <c r="M254" i="1"/>
  <c r="M253" i="1"/>
  <c r="M249" i="1"/>
  <c r="M243" i="1"/>
  <c r="M237" i="1"/>
  <c r="M233" i="1"/>
  <c r="M234" i="1" s="1"/>
  <c r="M229" i="1"/>
  <c r="M230" i="1" s="1"/>
  <c r="M222" i="1"/>
  <c r="M224" i="1" s="1"/>
  <c r="M219" i="1"/>
  <c r="M213" i="1"/>
  <c r="M209" i="1"/>
  <c r="M200" i="1"/>
  <c r="M202" i="1" s="1"/>
  <c r="M189" i="1"/>
  <c r="M183" i="1"/>
  <c r="M185" i="1" s="1"/>
  <c r="M180" i="1"/>
  <c r="M179" i="1"/>
  <c r="M176" i="1"/>
  <c r="M175" i="1"/>
  <c r="M172" i="1"/>
  <c r="M161" i="1"/>
  <c r="M160" i="1"/>
  <c r="M154" i="1"/>
  <c r="M147" i="1"/>
  <c r="M144" i="1"/>
  <c r="M141" i="1"/>
  <c r="M138" i="1"/>
  <c r="M135" i="1"/>
  <c r="M131" i="1"/>
  <c r="M128" i="1"/>
  <c r="M125" i="1"/>
  <c r="M121" i="1"/>
  <c r="M117" i="1"/>
  <c r="M109" i="1"/>
  <c r="M106" i="1"/>
  <c r="M102" i="1"/>
  <c r="M98" i="1"/>
  <c r="M92" i="1"/>
  <c r="M88" i="1"/>
  <c r="M84" i="1"/>
  <c r="M81" i="1"/>
  <c r="M77" i="1"/>
  <c r="M25" i="1"/>
  <c r="M11" i="1"/>
  <c r="M6" i="1"/>
  <c r="N213" i="1"/>
  <c r="O213" i="1"/>
  <c r="P213" i="1"/>
  <c r="Q213" i="1"/>
  <c r="R213" i="1"/>
  <c r="S213" i="1"/>
  <c r="T213" i="1"/>
  <c r="U213" i="1"/>
  <c r="N6" i="1"/>
  <c r="N11" i="1"/>
  <c r="N25" i="1"/>
  <c r="N70" i="1"/>
  <c r="N72" i="1"/>
  <c r="N77" i="1"/>
  <c r="N81" i="1"/>
  <c r="N84" i="1"/>
  <c r="N88" i="1"/>
  <c r="N92" i="1"/>
  <c r="N98" i="1"/>
  <c r="N102" i="1"/>
  <c r="N106" i="1"/>
  <c r="N109" i="1"/>
  <c r="N117" i="1"/>
  <c r="N121" i="1"/>
  <c r="N125" i="1"/>
  <c r="N128" i="1"/>
  <c r="N131" i="1"/>
  <c r="N135" i="1"/>
  <c r="N138" i="1"/>
  <c r="N141" i="1"/>
  <c r="N144" i="1"/>
  <c r="N147" i="1"/>
  <c r="N154" i="1"/>
  <c r="N160" i="1"/>
  <c r="N161" i="1"/>
  <c r="N169" i="1"/>
  <c r="N172" i="1"/>
  <c r="N175" i="1"/>
  <c r="N176" i="1"/>
  <c r="N179" i="1"/>
  <c r="N180" i="1"/>
  <c r="N183" i="1"/>
  <c r="N185" i="1" s="1"/>
  <c r="N189" i="1"/>
  <c r="N200" i="1"/>
  <c r="N202" i="1" s="1"/>
  <c r="N209" i="1"/>
  <c r="N219" i="1"/>
  <c r="N222" i="1"/>
  <c r="N224" i="1" s="1"/>
  <c r="N229" i="1"/>
  <c r="N230" i="1" s="1"/>
  <c r="N233" i="1"/>
  <c r="N234" i="1" s="1"/>
  <c r="N237" i="1"/>
  <c r="N243" i="1"/>
  <c r="N249" i="1"/>
  <c r="N253" i="1"/>
  <c r="N254" i="1"/>
  <c r="N257" i="1"/>
  <c r="N265" i="1"/>
  <c r="N275" i="1"/>
  <c r="N280" i="1"/>
  <c r="N281" i="1"/>
  <c r="N284" i="1"/>
  <c r="N285" i="1"/>
  <c r="N291" i="1"/>
  <c r="N296" i="1"/>
  <c r="N301" i="1"/>
  <c r="N310" i="1"/>
  <c r="N329" i="1"/>
  <c r="N330" i="1"/>
  <c r="N345" i="1"/>
  <c r="N348" i="1"/>
  <c r="N356" i="1"/>
  <c r="N359" i="1"/>
  <c r="O243" i="1"/>
  <c r="O219" i="1"/>
  <c r="O189" i="1"/>
  <c r="O209" i="1"/>
  <c r="O200" i="1"/>
  <c r="O202" i="1" s="1"/>
  <c r="O180" i="1"/>
  <c r="O179" i="1"/>
  <c r="O176" i="1"/>
  <c r="O175" i="1"/>
  <c r="O161" i="1"/>
  <c r="O160" i="1"/>
  <c r="O147" i="1"/>
  <c r="O144" i="1"/>
  <c r="O141" i="1"/>
  <c r="O138" i="1"/>
  <c r="O135" i="1"/>
  <c r="O131" i="1"/>
  <c r="O128" i="1"/>
  <c r="O125" i="1"/>
  <c r="O121" i="1"/>
  <c r="O117" i="1"/>
  <c r="O109" i="1"/>
  <c r="O106" i="1"/>
  <c r="O102" i="1"/>
  <c r="O98" i="1"/>
  <c r="O92" i="1"/>
  <c r="O88" i="1"/>
  <c r="O84" i="1"/>
  <c r="O81" i="1"/>
  <c r="O77" i="1"/>
  <c r="P25" i="1"/>
  <c r="P6" i="1"/>
  <c r="P243" i="1"/>
  <c r="P219" i="1"/>
  <c r="P189" i="1"/>
  <c r="P359" i="1"/>
  <c r="P356" i="1"/>
  <c r="P353" i="1"/>
  <c r="P348" i="1"/>
  <c r="P345" i="1"/>
  <c r="P330" i="1"/>
  <c r="P329" i="1"/>
  <c r="P323" i="1"/>
  <c r="P324" i="1" s="1"/>
  <c r="P317" i="1"/>
  <c r="P313" i="1"/>
  <c r="P314" i="1" s="1"/>
  <c r="P310" i="1"/>
  <c r="P301" i="1"/>
  <c r="P296" i="1"/>
  <c r="P291" i="1"/>
  <c r="P285" i="1"/>
  <c r="P284" i="1"/>
  <c r="P281" i="1"/>
  <c r="P280" i="1"/>
  <c r="P275" i="1"/>
  <c r="P272" i="1"/>
  <c r="P265" i="1"/>
  <c r="P262" i="1"/>
  <c r="P257" i="1"/>
  <c r="P254" i="1"/>
  <c r="P253" i="1"/>
  <c r="P249" i="1"/>
  <c r="P237" i="1"/>
  <c r="P233" i="1"/>
  <c r="P234" i="1" s="1"/>
  <c r="P229" i="1"/>
  <c r="P230" i="1" s="1"/>
  <c r="P222" i="1"/>
  <c r="P224" i="1" s="1"/>
  <c r="P209" i="1"/>
  <c r="P206" i="1"/>
  <c r="P200" i="1"/>
  <c r="P202" i="1" s="1"/>
  <c r="P196" i="1"/>
  <c r="P183" i="1"/>
  <c r="P185" i="1" s="1"/>
  <c r="P180" i="1"/>
  <c r="P179" i="1"/>
  <c r="P176" i="1"/>
  <c r="P175" i="1"/>
  <c r="P172" i="1"/>
  <c r="P169" i="1"/>
  <c r="P166" i="1"/>
  <c r="P164" i="1"/>
  <c r="P161" i="1"/>
  <c r="P160" i="1"/>
  <c r="P157" i="1"/>
  <c r="P154" i="1"/>
  <c r="P147" i="1"/>
  <c r="P144" i="1"/>
  <c r="P141" i="1"/>
  <c r="P138" i="1"/>
  <c r="P135" i="1"/>
  <c r="P131" i="1"/>
  <c r="P128" i="1"/>
  <c r="P125" i="1"/>
  <c r="P121" i="1"/>
  <c r="P117" i="1"/>
  <c r="P109" i="1"/>
  <c r="P106" i="1"/>
  <c r="P102" i="1"/>
  <c r="P98" i="1"/>
  <c r="P92" i="1"/>
  <c r="P88" i="1"/>
  <c r="P84" i="1"/>
  <c r="P81" i="1"/>
  <c r="P77" i="1"/>
  <c r="P72" i="1"/>
  <c r="P70" i="1"/>
  <c r="P20" i="1"/>
  <c r="P17" i="1"/>
  <c r="P14" i="1"/>
  <c r="P11" i="1"/>
  <c r="P3" i="1"/>
  <c r="R6" i="1"/>
  <c r="S6" i="1"/>
  <c r="T6" i="1"/>
  <c r="U6" i="1"/>
  <c r="Q6" i="1"/>
  <c r="Q189" i="1"/>
  <c r="Q219" i="1"/>
  <c r="Q335" i="1"/>
  <c r="Q243" i="1"/>
  <c r="Q359" i="1"/>
  <c r="Q356" i="1"/>
  <c r="Q353" i="1"/>
  <c r="Q348" i="1"/>
  <c r="Q345" i="1"/>
  <c r="Q330" i="1"/>
  <c r="Q329" i="1"/>
  <c r="Q323" i="1"/>
  <c r="Q324" i="1" s="1"/>
  <c r="Q317" i="1"/>
  <c r="Q313" i="1"/>
  <c r="Q314" i="1" s="1"/>
  <c r="Q310" i="1"/>
  <c r="Q301" i="1"/>
  <c r="Q296" i="1"/>
  <c r="Q291" i="1"/>
  <c r="Q285" i="1"/>
  <c r="Q284" i="1"/>
  <c r="Q281" i="1"/>
  <c r="Q280" i="1"/>
  <c r="Q275" i="1"/>
  <c r="Q272" i="1"/>
  <c r="Q265" i="1"/>
  <c r="Q262" i="1"/>
  <c r="Q257" i="1"/>
  <c r="Q254" i="1"/>
  <c r="Q253" i="1"/>
  <c r="Q249" i="1"/>
  <c r="Q237" i="1"/>
  <c r="Q233" i="1"/>
  <c r="Q234" i="1" s="1"/>
  <c r="Q229" i="1"/>
  <c r="Q230" i="1" s="1"/>
  <c r="Q222" i="1"/>
  <c r="Q224" i="1" s="1"/>
  <c r="Q209" i="1"/>
  <c r="Q206" i="1"/>
  <c r="Q200" i="1"/>
  <c r="Q202" i="1" s="1"/>
  <c r="Q196" i="1"/>
  <c r="Q183" i="1"/>
  <c r="Q185" i="1" s="1"/>
  <c r="Q180" i="1"/>
  <c r="Q179" i="1"/>
  <c r="Q176" i="1"/>
  <c r="Q175" i="1"/>
  <c r="Q172" i="1"/>
  <c r="Q169" i="1"/>
  <c r="Q166" i="1"/>
  <c r="Q164" i="1"/>
  <c r="Q161" i="1"/>
  <c r="Q160" i="1"/>
  <c r="Q157" i="1"/>
  <c r="Q154" i="1"/>
  <c r="Q147" i="1"/>
  <c r="Q144" i="1"/>
  <c r="Q141" i="1"/>
  <c r="Q138" i="1"/>
  <c r="Q135" i="1"/>
  <c r="Q131" i="1"/>
  <c r="Q128" i="1"/>
  <c r="Q125" i="1"/>
  <c r="Q121" i="1"/>
  <c r="Q117" i="1"/>
  <c r="Q109" i="1"/>
  <c r="Q106" i="1"/>
  <c r="Q102" i="1"/>
  <c r="Q98" i="1"/>
  <c r="Q92" i="1"/>
  <c r="Q88" i="1"/>
  <c r="Q84" i="1"/>
  <c r="Q81" i="1"/>
  <c r="Q77" i="1"/>
  <c r="Q72" i="1"/>
  <c r="Q70" i="1"/>
  <c r="Q20" i="1"/>
  <c r="Q17" i="1"/>
  <c r="Q14" i="1"/>
  <c r="Q11" i="1"/>
  <c r="Q3" i="1"/>
  <c r="AE296" i="1"/>
  <c r="AG137" i="1"/>
  <c r="AF137" i="1"/>
  <c r="AF200" i="1"/>
  <c r="AH243" i="1"/>
  <c r="AH196" i="1"/>
  <c r="AH180" i="1"/>
  <c r="AH179" i="1"/>
  <c r="AH176" i="1"/>
  <c r="AH175" i="1"/>
  <c r="AI243" i="1"/>
  <c r="AI196" i="1"/>
  <c r="AI180" i="1"/>
  <c r="AI179" i="1"/>
  <c r="AI176" i="1"/>
  <c r="AI175" i="1"/>
  <c r="AJ237" i="1"/>
  <c r="AJ233" i="1"/>
  <c r="AJ234" i="1" s="1"/>
  <c r="AJ229" i="1"/>
  <c r="AJ230" i="1" s="1"/>
  <c r="AJ222" i="1"/>
  <c r="AJ224" i="1" s="1"/>
  <c r="AJ200" i="1"/>
  <c r="AK301" i="1"/>
  <c r="X329" i="1"/>
  <c r="X330" i="1"/>
  <c r="Y330" i="1"/>
  <c r="X249" i="1"/>
  <c r="Y329" i="1"/>
  <c r="Y285" i="1"/>
  <c r="Y284" i="1"/>
  <c r="Y281" i="1"/>
  <c r="Y280" i="1"/>
  <c r="Y265" i="1"/>
  <c r="Y249" i="1"/>
  <c r="Z11" i="1"/>
  <c r="Z262" i="1"/>
  <c r="Z330" i="1"/>
  <c r="Z329" i="1"/>
  <c r="Z285" i="1"/>
  <c r="Z284" i="1"/>
  <c r="Z281" i="1"/>
  <c r="Z280" i="1"/>
  <c r="Z265" i="1"/>
  <c r="Z249" i="1"/>
  <c r="AA330" i="1"/>
  <c r="AA329" i="1"/>
  <c r="AA285" i="1"/>
  <c r="AA284" i="1"/>
  <c r="AA281" i="1"/>
  <c r="AA280" i="1"/>
  <c r="AA265" i="1"/>
  <c r="AA249" i="1"/>
  <c r="AB330" i="1"/>
  <c r="AB329" i="1"/>
  <c r="AB285" i="1"/>
  <c r="AB284" i="1"/>
  <c r="AB281" i="1"/>
  <c r="AB280" i="1"/>
  <c r="AB265" i="1"/>
  <c r="AB249" i="1"/>
  <c r="AC329" i="1"/>
  <c r="AC330" i="1"/>
  <c r="AC284" i="1"/>
  <c r="AC285" i="1"/>
  <c r="AC280" i="1"/>
  <c r="AC281" i="1"/>
  <c r="AC249" i="1"/>
  <c r="AC265" i="1"/>
  <c r="R72" i="1"/>
  <c r="R243" i="1"/>
  <c r="R359" i="1"/>
  <c r="R356" i="1"/>
  <c r="R353" i="1"/>
  <c r="R348" i="1"/>
  <c r="R345" i="1"/>
  <c r="R330" i="1"/>
  <c r="R329" i="1"/>
  <c r="R323" i="1"/>
  <c r="R324" i="1" s="1"/>
  <c r="R317" i="1"/>
  <c r="R313" i="1"/>
  <c r="R314" i="1" s="1"/>
  <c r="R310" i="1"/>
  <c r="R301" i="1"/>
  <c r="R296" i="1"/>
  <c r="R291" i="1"/>
  <c r="R285" i="1"/>
  <c r="R284" i="1"/>
  <c r="R281" i="1"/>
  <c r="R280" i="1"/>
  <c r="R275" i="1"/>
  <c r="R272" i="1"/>
  <c r="R265" i="1"/>
  <c r="R262" i="1"/>
  <c r="R257" i="1"/>
  <c r="R254" i="1"/>
  <c r="R253" i="1"/>
  <c r="R249" i="1"/>
  <c r="R237" i="1"/>
  <c r="R233" i="1"/>
  <c r="R234" i="1" s="1"/>
  <c r="R229" i="1"/>
  <c r="R230" i="1" s="1"/>
  <c r="R222" i="1"/>
  <c r="R224" i="1" s="1"/>
  <c r="R209" i="1"/>
  <c r="R206" i="1"/>
  <c r="R200" i="1"/>
  <c r="R202" i="1" s="1"/>
  <c r="R196" i="1"/>
  <c r="R183" i="1"/>
  <c r="R185" i="1" s="1"/>
  <c r="R180" i="1"/>
  <c r="R179" i="1"/>
  <c r="R176" i="1"/>
  <c r="R175" i="1"/>
  <c r="R172" i="1"/>
  <c r="R169" i="1"/>
  <c r="R166" i="1"/>
  <c r="R164" i="1"/>
  <c r="R161" i="1"/>
  <c r="R160" i="1"/>
  <c r="R157" i="1"/>
  <c r="R154" i="1"/>
  <c r="R147" i="1"/>
  <c r="R144" i="1"/>
  <c r="R141" i="1"/>
  <c r="R138" i="1"/>
  <c r="R135" i="1"/>
  <c r="R131" i="1"/>
  <c r="R128" i="1"/>
  <c r="R125" i="1"/>
  <c r="R121" i="1"/>
  <c r="R117" i="1"/>
  <c r="R109" i="1"/>
  <c r="R106" i="1"/>
  <c r="R102" i="1"/>
  <c r="R98" i="1"/>
  <c r="R92" i="1"/>
  <c r="R88" i="1"/>
  <c r="R84" i="1"/>
  <c r="R81" i="1"/>
  <c r="R77" i="1"/>
  <c r="R70" i="1"/>
  <c r="R20" i="1"/>
  <c r="R17" i="1"/>
  <c r="R14" i="1"/>
  <c r="R11" i="1"/>
  <c r="R3" i="1"/>
  <c r="D11" i="2"/>
  <c r="T72" i="1"/>
  <c r="U72" i="1"/>
  <c r="V72" i="1"/>
  <c r="W72" i="1"/>
  <c r="S72" i="1"/>
  <c r="S345" i="1"/>
  <c r="S359" i="1"/>
  <c r="S356" i="1"/>
  <c r="S353" i="1"/>
  <c r="S348" i="1"/>
  <c r="S330" i="1"/>
  <c r="S329" i="1"/>
  <c r="S323" i="1"/>
  <c r="S324" i="1" s="1"/>
  <c r="S317" i="1"/>
  <c r="S313" i="1"/>
  <c r="S314" i="1" s="1"/>
  <c r="S310" i="1"/>
  <c r="S301" i="1"/>
  <c r="S296" i="1"/>
  <c r="S291" i="1"/>
  <c r="S285" i="1"/>
  <c r="S284" i="1"/>
  <c r="S281" i="1"/>
  <c r="S280" i="1"/>
  <c r="S275" i="1"/>
  <c r="S272" i="1"/>
  <c r="S265" i="1"/>
  <c r="S262" i="1"/>
  <c r="S257" i="1"/>
  <c r="S254" i="1"/>
  <c r="S253" i="1"/>
  <c r="S249" i="1"/>
  <c r="S237" i="1"/>
  <c r="S233" i="1"/>
  <c r="S234" i="1" s="1"/>
  <c r="S229" i="1"/>
  <c r="S230" i="1" s="1"/>
  <c r="S222" i="1"/>
  <c r="S224" i="1" s="1"/>
  <c r="S209" i="1"/>
  <c r="S206" i="1"/>
  <c r="S200" i="1"/>
  <c r="S202" i="1" s="1"/>
  <c r="S196" i="1"/>
  <c r="S183" i="1"/>
  <c r="S185" i="1" s="1"/>
  <c r="S180" i="1"/>
  <c r="S179" i="1"/>
  <c r="S176" i="1"/>
  <c r="S175" i="1"/>
  <c r="S172" i="1"/>
  <c r="S169" i="1"/>
  <c r="S166" i="1"/>
  <c r="S164" i="1"/>
  <c r="S161" i="1"/>
  <c r="S160" i="1"/>
  <c r="S157" i="1"/>
  <c r="S154" i="1"/>
  <c r="S147" i="1"/>
  <c r="S144" i="1"/>
  <c r="S141" i="1"/>
  <c r="S138" i="1"/>
  <c r="S135" i="1"/>
  <c r="S131" i="1"/>
  <c r="S128" i="1"/>
  <c r="S125" i="1"/>
  <c r="S121" i="1"/>
  <c r="S117" i="1"/>
  <c r="S109" i="1"/>
  <c r="S106" i="1"/>
  <c r="S102" i="1"/>
  <c r="S98" i="1"/>
  <c r="S92" i="1"/>
  <c r="S88" i="1"/>
  <c r="S84" i="1"/>
  <c r="S81" i="1"/>
  <c r="S77" i="1"/>
  <c r="S70" i="1"/>
  <c r="S20" i="1"/>
  <c r="S17" i="1"/>
  <c r="S14" i="1"/>
  <c r="S11" i="1"/>
  <c r="S3" i="1"/>
  <c r="U345" i="1"/>
  <c r="T345" i="1"/>
  <c r="T359" i="1"/>
  <c r="T356" i="1"/>
  <c r="T353" i="1"/>
  <c r="T348" i="1"/>
  <c r="T330" i="1"/>
  <c r="T329" i="1"/>
  <c r="T323" i="1"/>
  <c r="T324" i="1" s="1"/>
  <c r="T317" i="1"/>
  <c r="T313" i="1"/>
  <c r="T314" i="1" s="1"/>
  <c r="T310" i="1"/>
  <c r="T301" i="1"/>
  <c r="T296" i="1"/>
  <c r="T291" i="1"/>
  <c r="T285" i="1"/>
  <c r="T284" i="1"/>
  <c r="T281" i="1"/>
  <c r="T280" i="1"/>
  <c r="T275" i="1"/>
  <c r="T272" i="1"/>
  <c r="T265" i="1"/>
  <c r="T262" i="1"/>
  <c r="T257" i="1"/>
  <c r="T254" i="1"/>
  <c r="T253" i="1"/>
  <c r="T249" i="1"/>
  <c r="T237" i="1"/>
  <c r="T233" i="1"/>
  <c r="T234" i="1" s="1"/>
  <c r="T229" i="1"/>
  <c r="T230" i="1" s="1"/>
  <c r="T222" i="1"/>
  <c r="T224" i="1" s="1"/>
  <c r="T209" i="1"/>
  <c r="T206" i="1"/>
  <c r="T200" i="1"/>
  <c r="T202" i="1" s="1"/>
  <c r="T196" i="1"/>
  <c r="T183" i="1"/>
  <c r="T185" i="1" s="1"/>
  <c r="T180" i="1"/>
  <c r="T179" i="1"/>
  <c r="T176" i="1"/>
  <c r="T175" i="1"/>
  <c r="T172" i="1"/>
  <c r="T169" i="1"/>
  <c r="T166" i="1"/>
  <c r="T164" i="1"/>
  <c r="T161" i="1"/>
  <c r="T160" i="1"/>
  <c r="T157" i="1"/>
  <c r="T154" i="1"/>
  <c r="T147" i="1"/>
  <c r="T144" i="1"/>
  <c r="T141" i="1"/>
  <c r="T138" i="1"/>
  <c r="T135" i="1"/>
  <c r="T131" i="1"/>
  <c r="T128" i="1"/>
  <c r="T125" i="1"/>
  <c r="T121" i="1"/>
  <c r="T117" i="1"/>
  <c r="T109" i="1"/>
  <c r="T106" i="1"/>
  <c r="T102" i="1"/>
  <c r="T98" i="1"/>
  <c r="T92" i="1"/>
  <c r="T88" i="1"/>
  <c r="T84" i="1"/>
  <c r="T81" i="1"/>
  <c r="T77" i="1"/>
  <c r="T70" i="1"/>
  <c r="T20" i="1"/>
  <c r="T17" i="1"/>
  <c r="T14" i="1"/>
  <c r="T11" i="1"/>
  <c r="T3" i="1"/>
  <c r="V180" i="1"/>
  <c r="W180" i="1"/>
  <c r="U180" i="1"/>
  <c r="V176" i="1"/>
  <c r="W176" i="1"/>
  <c r="U176" i="1"/>
  <c r="U209" i="1"/>
  <c r="U14" i="1"/>
  <c r="U3" i="1"/>
  <c r="U20" i="1"/>
  <c r="U17" i="1"/>
  <c r="V301" i="1"/>
  <c r="U301" i="1"/>
  <c r="V296" i="1"/>
  <c r="U296" i="1"/>
  <c r="V291" i="1"/>
  <c r="U291" i="1"/>
  <c r="V353" i="1"/>
  <c r="W353" i="1"/>
  <c r="U353" i="1"/>
  <c r="V310" i="1"/>
  <c r="W310" i="1"/>
  <c r="U310" i="1"/>
  <c r="V254" i="1"/>
  <c r="W254" i="1"/>
  <c r="U254" i="1"/>
  <c r="U11" i="1"/>
  <c r="U70" i="1"/>
  <c r="U348" i="1"/>
  <c r="V330" i="1"/>
  <c r="W330" i="1"/>
  <c r="U330" i="1"/>
  <c r="U359" i="1"/>
  <c r="V281" i="1"/>
  <c r="W281" i="1"/>
  <c r="U281" i="1"/>
  <c r="V285" i="1"/>
  <c r="W285" i="1"/>
  <c r="U285" i="1"/>
  <c r="U356" i="1"/>
  <c r="U154" i="1"/>
  <c r="U169" i="1"/>
  <c r="V166" i="1"/>
  <c r="W166" i="1"/>
  <c r="U166" i="1"/>
  <c r="U172" i="1"/>
  <c r="V161" i="1"/>
  <c r="W161" i="1"/>
  <c r="U161" i="1"/>
  <c r="V196" i="1"/>
  <c r="W196" i="1"/>
  <c r="U196" i="1"/>
  <c r="V179" i="1"/>
  <c r="W179" i="1"/>
  <c r="U179" i="1"/>
  <c r="V183" i="1"/>
  <c r="V185" i="1" s="1"/>
  <c r="W183" i="1"/>
  <c r="W185" i="1" s="1"/>
  <c r="U183" i="1"/>
  <c r="U185" i="1" s="1"/>
  <c r="V175" i="1"/>
  <c r="W175" i="1"/>
  <c r="U175" i="1"/>
  <c r="V106" i="1"/>
  <c r="W106" i="1"/>
  <c r="U106" i="1"/>
  <c r="V92" i="1"/>
  <c r="W92" i="1"/>
  <c r="U92" i="1"/>
  <c r="V102" i="1"/>
  <c r="W102" i="1"/>
  <c r="U102" i="1"/>
  <c r="V98" i="1"/>
  <c r="W98" i="1"/>
  <c r="U98" i="1"/>
  <c r="V88" i="1"/>
  <c r="W88" i="1"/>
  <c r="U88" i="1"/>
  <c r="V77" i="1"/>
  <c r="W77" i="1"/>
  <c r="U77" i="1"/>
  <c r="V84" i="1"/>
  <c r="W84" i="1"/>
  <c r="U84" i="1"/>
  <c r="V272" i="1"/>
  <c r="W272" i="1"/>
  <c r="U272" i="1"/>
  <c r="V157" i="1"/>
  <c r="W157" i="1"/>
  <c r="U157" i="1"/>
  <c r="V265" i="1"/>
  <c r="W265" i="1"/>
  <c r="U265" i="1"/>
  <c r="V81" i="1"/>
  <c r="W81" i="1"/>
  <c r="U81" i="1"/>
  <c r="V275" i="1"/>
  <c r="W275" i="1"/>
  <c r="U275" i="1"/>
  <c r="V317" i="1"/>
  <c r="W317" i="1"/>
  <c r="U317" i="1"/>
  <c r="V323" i="1"/>
  <c r="V324" i="1" s="1"/>
  <c r="W323" i="1"/>
  <c r="W324" i="1" s="1"/>
  <c r="U323" i="1"/>
  <c r="U324" i="1" s="1"/>
  <c r="V313" i="1"/>
  <c r="V314" i="1" s="1"/>
  <c r="W313" i="1"/>
  <c r="W314" i="1" s="1"/>
  <c r="U313" i="1"/>
  <c r="U314" i="1" s="1"/>
  <c r="V206" i="1"/>
  <c r="U206" i="1"/>
  <c r="V125" i="1"/>
  <c r="W125" i="1"/>
  <c r="U125" i="1"/>
  <c r="V121" i="1"/>
  <c r="W121" i="1"/>
  <c r="U121" i="1"/>
  <c r="V131" i="1"/>
  <c r="W131" i="1"/>
  <c r="U131" i="1"/>
  <c r="V128" i="1"/>
  <c r="W128" i="1"/>
  <c r="U128" i="1"/>
  <c r="V117" i="1"/>
  <c r="W117" i="1"/>
  <c r="U117" i="1"/>
  <c r="V141" i="1"/>
  <c r="W141" i="1"/>
  <c r="U141" i="1"/>
  <c r="V138" i="1"/>
  <c r="W138" i="1"/>
  <c r="U138" i="1"/>
  <c r="V144" i="1"/>
  <c r="W144" i="1"/>
  <c r="U144" i="1"/>
  <c r="V147" i="1"/>
  <c r="W147" i="1"/>
  <c r="U147" i="1"/>
  <c r="V135" i="1"/>
  <c r="W135" i="1"/>
  <c r="U135" i="1"/>
  <c r="V160" i="1"/>
  <c r="W160" i="1"/>
  <c r="U160" i="1"/>
  <c r="V109" i="1"/>
  <c r="W109" i="1"/>
  <c r="U109" i="1"/>
  <c r="V284" i="1"/>
  <c r="W284" i="1"/>
  <c r="U284" i="1"/>
  <c r="V280" i="1"/>
  <c r="W280" i="1"/>
  <c r="U280" i="1"/>
  <c r="V262" i="1"/>
  <c r="W262" i="1"/>
  <c r="U262" i="1"/>
  <c r="V257" i="1"/>
  <c r="W257" i="1"/>
  <c r="U257" i="1"/>
  <c r="V253" i="1"/>
  <c r="W253" i="1"/>
  <c r="U253" i="1"/>
  <c r="V329" i="1"/>
  <c r="W329" i="1"/>
  <c r="U329" i="1"/>
  <c r="V249" i="1"/>
  <c r="W249" i="1"/>
  <c r="U249" i="1"/>
  <c r="V164" i="1"/>
  <c r="W164" i="1"/>
  <c r="U164" i="1"/>
  <c r="V222" i="1"/>
  <c r="V224" i="1" s="1"/>
  <c r="W222" i="1"/>
  <c r="W224" i="1" s="1"/>
  <c r="U222" i="1"/>
  <c r="U224" i="1" s="1"/>
  <c r="W233" i="1"/>
  <c r="W234" i="1" s="1"/>
  <c r="V233" i="1"/>
  <c r="V234" i="1" s="1"/>
  <c r="U233" i="1"/>
  <c r="U234" i="1" s="1"/>
  <c r="U229" i="1"/>
  <c r="U230" i="1" s="1"/>
  <c r="W229" i="1"/>
  <c r="W230" i="1" s="1"/>
  <c r="V229" i="1"/>
  <c r="V230" i="1" s="1"/>
  <c r="V237" i="1"/>
  <c r="W237" i="1"/>
  <c r="U237" i="1"/>
  <c r="V200" i="1"/>
  <c r="V202" i="1" s="1"/>
  <c r="W200" i="1"/>
  <c r="W202" i="1" s="1"/>
  <c r="U200" i="1"/>
  <c r="U202" i="1" s="1"/>
  <c r="D9" i="7" l="1"/>
  <c r="G9" i="7" s="1"/>
  <c r="H9" i="7" s="1"/>
  <c r="L185" i="1"/>
  <c r="D7" i="7"/>
  <c r="G7" i="7" s="1"/>
  <c r="L230" i="1"/>
  <c r="D10" i="7"/>
  <c r="G10" i="7" s="1"/>
  <c r="H10" i="7" s="1"/>
  <c r="D16" i="7"/>
  <c r="G16" i="7" s="1"/>
  <c r="H16" i="7" s="1"/>
  <c r="D21" i="7"/>
  <c r="G21" i="7" s="1"/>
  <c r="H21" i="7" s="1"/>
  <c r="L202" i="1"/>
  <c r="D27" i="7"/>
  <c r="G27" i="7" s="1"/>
  <c r="H27" i="7" s="1"/>
  <c r="D19" i="7"/>
  <c r="G19" i="7" s="1"/>
  <c r="H19" i="7" s="1"/>
  <c r="D17" i="7"/>
  <c r="G17" i="7" s="1"/>
  <c r="H17" i="7" s="1"/>
  <c r="D23" i="7"/>
  <c r="G23" i="7" s="1"/>
  <c r="H23" i="7" s="1"/>
  <c r="D8" i="7"/>
  <c r="G8" i="7" s="1"/>
  <c r="H8" i="7" s="1"/>
  <c r="D20" i="7"/>
  <c r="G20" i="7" s="1"/>
  <c r="H20" i="7" s="1"/>
  <c r="D18" i="7"/>
  <c r="G18" i="7" s="1"/>
  <c r="H18" i="7" s="1"/>
  <c r="D11" i="7"/>
  <c r="G11" i="7" s="1"/>
  <c r="H11" i="7" s="1"/>
  <c r="B6" i="2"/>
  <c r="B9" i="2" s="1"/>
  <c r="G6" i="2"/>
  <c r="G9" i="2" s="1"/>
  <c r="H6" i="2"/>
  <c r="H9" i="2" s="1"/>
  <c r="I6" i="2"/>
  <c r="I9" i="2" s="1"/>
  <c r="D6" i="2"/>
  <c r="D9" i="2" s="1"/>
  <c r="L226" i="1"/>
  <c r="L27" i="1"/>
  <c r="J6" i="2"/>
  <c r="J9" i="2" s="1"/>
  <c r="C6" i="2"/>
  <c r="C9" i="2" s="1"/>
  <c r="M27" i="1"/>
  <c r="M226" i="1"/>
  <c r="F6" i="2"/>
  <c r="F9" i="2" s="1"/>
  <c r="E6" i="2"/>
  <c r="E9" i="2" s="1"/>
  <c r="N27" i="1"/>
  <c r="N226" i="1"/>
  <c r="P27" i="1"/>
  <c r="P226" i="1"/>
  <c r="Q226" i="1"/>
  <c r="R226" i="1"/>
  <c r="S226" i="1"/>
  <c r="T226" i="1"/>
  <c r="U226" i="1"/>
  <c r="W226" i="1"/>
  <c r="V226" i="1"/>
  <c r="H7" i="7" l="1"/>
  <c r="H32" i="7" s="1"/>
  <c r="B34" i="7" s="1"/>
  <c r="B35" i="7" s="1"/>
  <c r="G32" i="7"/>
  <c r="B15" i="2"/>
  <c r="C15" i="2" s="1"/>
  <c r="D15" i="2" s="1"/>
  <c r="E15" i="2" l="1"/>
  <c r="F15" i="2" s="1"/>
  <c r="L3" i="2"/>
</calcChain>
</file>

<file path=xl/sharedStrings.xml><?xml version="1.0" encoding="utf-8"?>
<sst xmlns="http://schemas.openxmlformats.org/spreadsheetml/2006/main" count="574" uniqueCount="451">
  <si>
    <t>Мышьяк (сыворотка), &lt;0,01 мкг/мл</t>
  </si>
  <si>
    <t>Селен (сыворотка), 0.07 — 0.12 мкг/мл</t>
  </si>
  <si>
    <t>Ртуть (кровь), &lt; 0,01 мкг/мл</t>
  </si>
  <si>
    <t>Свинец (кровь), &lt; 0,1 мкг/мл</t>
  </si>
  <si>
    <t>Альфа-линоленовая кислота (ALA), с18:3w3, 20 — 200 нмоль/мл</t>
  </si>
  <si>
    <t>Эйкозапентаеновая кислота (EPA), c20:5w3, 8 — 130 нмоль/мл</t>
  </si>
  <si>
    <t>Докозагексаеновая кислота (DHA), с22:6w3, 45 — 365 нмоль/мл</t>
  </si>
  <si>
    <t>Линолевая кислота (LA), с18:2w6, 1210 — 4300 нмоль/мл</t>
  </si>
  <si>
    <t>Гамма-линоленовая кислота (GLA), с18:3w6, 10 — 120 нмоль/мл</t>
  </si>
  <si>
    <t>Дигомо-гамма-линоленовая кислота (DHGLA), с20:3w6, 45 — 340 нмоль/мл</t>
  </si>
  <si>
    <t>Арахидоновая кислота (AA), c20:4w6, 310 — 1420 нмоль/мл</t>
  </si>
  <si>
    <t>Докозатетраеновая кислота (DTA), с22:4w6, 10 — 40 нмоль/мл</t>
  </si>
  <si>
    <t>Докозапентаеновая кислота (DPA), с22:5w6, 6 — 55 нмоль/мл</t>
  </si>
  <si>
    <t>Гексадеценовая кистота, C16:1w9, 14 — 95 нмоль/мл</t>
  </si>
  <si>
    <t>Олеиновая кислота, C18:1w9, 740 — 3900 нмоль/мл</t>
  </si>
  <si>
    <t>Мидовая кислота, C20:3w9, 1 — 35 нмоль/мл</t>
  </si>
  <si>
    <t>Селахолиевая кислота, C24:1w9, 35 — 145 нмоль/мл</t>
  </si>
  <si>
    <t>Соотношение триеновых и тетраеновых жирных кислот (индекс Holman), 0.004 — 0.051</t>
  </si>
  <si>
    <t>Гематокрит, 39.0 — 50.0 %</t>
  </si>
  <si>
    <t>Гемоглобин, 13.1 — 17.2 г/дл</t>
  </si>
  <si>
    <t>Эритроциты, 4.20 — 5.60 млн/мкл</t>
  </si>
  <si>
    <t>MCV (ср. объем эритр.), 81.0 — 101.0 фл</t>
  </si>
  <si>
    <t>RDW (шир. распред. эритр), 11.6 — 14.8 %</t>
  </si>
  <si>
    <t>MCH (ср. содер. Hb в эр.), 27.0 — 35.0 пг</t>
  </si>
  <si>
    <t>МСHС (ср. конц. Hb в эр.), 32.0 — 36.0 г/дл</t>
  </si>
  <si>
    <t>Тромбоциты, 150 — 400 тыс/мкл</t>
  </si>
  <si>
    <t>Лейкоциты, 4.50 — 11.00 тыс/мкл</t>
  </si>
  <si>
    <t>Нейтрофилы (общ.число), 48.0 — 78.0 %</t>
  </si>
  <si>
    <t>Лимфоциты, 19.0 — 37.0 %</t>
  </si>
  <si>
    <t>Моноциты, 3.0 — 11.0 %</t>
  </si>
  <si>
    <t>Эозинофилы, 1.0 — 5.0 %</t>
  </si>
  <si>
    <t>Базофилы, &lt; 1.0%</t>
  </si>
  <si>
    <t>Нейтрофилы, 1.78 — 5.38 тыс/мкл</t>
  </si>
  <si>
    <t>Лимфоциты, 1.32 — 3.57 тыс/мкл</t>
  </si>
  <si>
    <t>Моноциты, 0.20 — 0.95 тыс/мкл</t>
  </si>
  <si>
    <t>Эозинофилы, 0.00 — 0.70 тыс/мкл</t>
  </si>
  <si>
    <t>Базофилы, 0.00 — 0.20 тыс/мкл</t>
  </si>
  <si>
    <t>Гомоцистеин, 5.46 — 16.20 мкмоль/л</t>
  </si>
  <si>
    <t>Общая железосвязывающая способность, 44.8 — 76.3 мкмоль/л</t>
  </si>
  <si>
    <t>СРБ высокочувствительный (кардиориск), &lt;1,0 мг/л</t>
  </si>
  <si>
    <t>HbA1c (гликированный Hb), %</t>
  </si>
  <si>
    <t>Индекс инсулинорезист-сти (HOMA), &lt;2.7</t>
  </si>
  <si>
    <t>Инсулин, 2.7 — 10.4 мкЕд/мл</t>
  </si>
  <si>
    <t>АлАТ, &lt; 41 Ед/л</t>
  </si>
  <si>
    <t>АсАТ, &lt; 37 Ед/л</t>
  </si>
  <si>
    <t>Альбумин, 35 — 52 г/л</t>
  </si>
  <si>
    <t>Гамма-ГТ, &lt; 49 Ед/л</t>
  </si>
  <si>
    <t>Глюкоза, 4.1 — 6.0 ммоль/л</t>
  </si>
  <si>
    <t>Креатинкиназа, &lt; 190 Ед/л</t>
  </si>
  <si>
    <t>Креатинин, 64 — 104 мкмоль/л</t>
  </si>
  <si>
    <t>Триглицериды, &lt;1,7 ммоль/л</t>
  </si>
  <si>
    <t>Холестерин, &lt;5.0 ммоль/л</t>
  </si>
  <si>
    <t>Холестерин-ЛПВП, &gt;1,0 ммоль/л</t>
  </si>
  <si>
    <t>Холестерин-ЛПНП (по Фридвальду), &lt;3,0 ммоль/л</t>
  </si>
  <si>
    <t>Коэффициент атерогенности, 2.0 — 3.0</t>
  </si>
  <si>
    <t>Кальций, 2.10 — 2.55 ммоль/л</t>
  </si>
  <si>
    <t>Калий, 3.5 — 5.1 ммоль/л</t>
  </si>
  <si>
    <t>Натрий, 136 — 145 ммоль/л</t>
  </si>
  <si>
    <t>Магний, 0.66 — 1.07 ммоль/л</t>
  </si>
  <si>
    <t>Железо, 11.6 — 31.3 мкмоль/л</t>
  </si>
  <si>
    <t>% насыщения трансферрина, 15 — 50 %</t>
  </si>
  <si>
    <t>Ферритин, 20 — 250 мкг/л</t>
  </si>
  <si>
    <t>Витамин В12, 187 — 883 пг/мл</t>
  </si>
  <si>
    <t>Фолиевая кислота, 3.1 — 20.5 нг/мл</t>
  </si>
  <si>
    <t>T3 свободный, 3.0 — 5.6 пмоль/л</t>
  </si>
  <si>
    <t>Т4 свободный, 9.00 — 19.05 пмоль/л</t>
  </si>
  <si>
    <t>ТТГ, 0.4 — 4.0 мЕд/л</t>
  </si>
  <si>
    <t>ДЭА - SO4, 3.7 — 12.1 мкмоль/л</t>
  </si>
  <si>
    <t>ГСПГ, 16.2 — 68.5 нмоль/л</t>
  </si>
  <si>
    <t>Кортизол, 101,2 - 535,7 нмоль/л</t>
  </si>
  <si>
    <t>Витамин 25(ОН) D, 30-100</t>
  </si>
  <si>
    <t>Витамин А (ретинол), 0.30 — 0.80 мкг/мл</t>
  </si>
  <si>
    <t>Витамин E (альфа-токоферол), 5.0 — 18.0 мкг/мл</t>
  </si>
  <si>
    <t>Свободный тестостерон, 1.00 — 28.28 пг/мл</t>
  </si>
  <si>
    <t>Тестостерон, 12 — 42.0 нмоль/л</t>
  </si>
  <si>
    <t>InsideTracker, Glucose, 65 - 89 mg/dL</t>
  </si>
  <si>
    <t>InsideTracker, HbA1c, 3 - 5.2</t>
  </si>
  <si>
    <t>InsideTracker, Triglycerides, &lt; 87 mg/dL</t>
  </si>
  <si>
    <t>InsideTracker, Total cholesterol, 125 - 195 mg/dL</t>
  </si>
  <si>
    <t>InsideTracker, HDL, 54 - 77 mg/dL</t>
  </si>
  <si>
    <t>InsideTracker, LDL, &lt; 94 mg/dL</t>
  </si>
  <si>
    <t>InsideTracker, Vitamin D, 32 - 100 ng/mL</t>
  </si>
  <si>
    <t>InsideTracker, Calcium, 8.6 - 10.3 mg/dL</t>
  </si>
  <si>
    <t>InsideTracker, Potassium, 3.6 - 4.8 mmol/L</t>
  </si>
  <si>
    <t>InsideTracker, Sodium, 137 - 145 mmol/L</t>
  </si>
  <si>
    <t>InsideTracker, Magnesium, 2.0 - 2.5 mg/dL</t>
  </si>
  <si>
    <t>InsideTracker, Vitamin B12, 488 - 779 pg/mL</t>
  </si>
  <si>
    <t>InsideTracker, Folate, 5.3 - 40 ng/mL</t>
  </si>
  <si>
    <t>InsideTracker, hsCRP,  &lt; 0.7 mg/L</t>
  </si>
  <si>
    <t>InsideTracker, Basophils, &lt; 200 cells/µL</t>
  </si>
  <si>
    <t>InsideTracker, Eosinophils, 15 - 500 cells/µL</t>
  </si>
  <si>
    <t>InsideTracker, Monocytes, 200 - 950 cells/µL</t>
  </si>
  <si>
    <t>InsideTracker, Lymphocytes, 850 - 3900 cells/µL</t>
  </si>
  <si>
    <t>InsideTracker, Neutrophils, 1500 - 7800 cells/µL</t>
  </si>
  <si>
    <t>InsideTracker, Basophils (percent), &lt; 2 %</t>
  </si>
  <si>
    <t>InsideTracker, Eosinophils (percent), &lt; 7 %</t>
  </si>
  <si>
    <t>InsideTracker, Monocytes (percent), 4 - 12 %</t>
  </si>
  <si>
    <t>InsideTracker, Lymphocytes (percent), 16 - 47 %</t>
  </si>
  <si>
    <t>InsideTracker, Neutrophils (percent), 39 - 75 %</t>
  </si>
  <si>
    <t>InsideTracker, White blood cells, 3.8 - 6.6 thousands/uL</t>
  </si>
  <si>
    <t>InsideTracker, Cortisol, 5 - 16.8 µg/dL</t>
  </si>
  <si>
    <t>InsideTracker, SHBG, 28 - 49 nmol/L</t>
  </si>
  <si>
    <t>InsideTracker, Testosterone, 518 - 1100 ng/dL</t>
  </si>
  <si>
    <t>InsideTracker, Creatine kinase, 44 - 196 U/L</t>
  </si>
  <si>
    <t>InsideTracker, TS, 26 - 40 %</t>
  </si>
  <si>
    <t>InsideTracker, Ferritin, 60 - 150 ng/mL</t>
  </si>
  <si>
    <t>InsideTracker, Iron, 77 - 112 ug/dL</t>
  </si>
  <si>
    <t>InsideTracker, TIBC, 250 - 425 ug/dL</t>
  </si>
  <si>
    <t>InsideTracker, Hemoglobin, 14.9 - 17.1 g/dL</t>
  </si>
  <si>
    <t>InsideTracker, Platelets, 140 - 400 thousands/uL</t>
  </si>
  <si>
    <t>InsideTracker, MCHC, 32 - 36 g/dL</t>
  </si>
  <si>
    <t>InsideTracker, MCH, 27 - 33 pg</t>
  </si>
  <si>
    <t>InsideTracker, RDW, 11 - 15 %</t>
  </si>
  <si>
    <t>InsideTracker, MCV, 80 - 100 fL</t>
  </si>
  <si>
    <t>InsideTracker, Red blood cells, 4.2 - 5.8 10E6/µL</t>
  </si>
  <si>
    <t>InsideTracker, Hematocrit, 38.5 - 50 %</t>
  </si>
  <si>
    <t>InsideTracker, GGT, 3 - 18 U/L</t>
  </si>
  <si>
    <t>InsideTracker, Albumin, 3.6 - 5.1 g/dL</t>
  </si>
  <si>
    <t>InsideTracker, AST, 10 - 25 U/L</t>
  </si>
  <si>
    <t>InsideTracker, ALT, 9 - 24 U/L</t>
  </si>
  <si>
    <t>InnerAge, lower - younger</t>
  </si>
  <si>
    <t>InnerAge, higher - younger</t>
  </si>
  <si>
    <t>Bredesen, hs-CRP,  &lt; 0.9 mg/L</t>
  </si>
  <si>
    <t>Bredesen, Fasting insulin, 3.0-5.0 μU/mL</t>
  </si>
  <si>
    <t>Bredesen, Glucose, 70 - 90 mg/dL</t>
  </si>
  <si>
    <t>Bredesen, Hemoglobin A1c, 4.0-5.3 %</t>
  </si>
  <si>
    <t>Bredesen, HOMA-IR, &lt;1.2</t>
  </si>
  <si>
    <t>Bredesen, Homocysteine, ≤7μmol/L</t>
  </si>
  <si>
    <t>Витамин С (аскорбиновая кислота), 4.0 — 15.0 мкг/мл</t>
  </si>
  <si>
    <t>Bredesen, Vitamin B6, 25-50 mcg/L</t>
  </si>
  <si>
    <r>
      <t>Bredesen, Vitamin B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(folate), 10-25 ng/mL</t>
    </r>
  </si>
  <si>
    <t>Bredesen, Vitamin B12, 500-1500 pg/mL</t>
  </si>
  <si>
    <t>Bredesen, Vitamin C, 1.3-2.5 mg/dL</t>
  </si>
  <si>
    <t>Bredesen, Vitamin D, 50 - 80 ng/mL</t>
  </si>
  <si>
    <t>Bredesen, Vitamin E, 12-20 mg/L</t>
  </si>
  <si>
    <t>Bredesen, AA to EPA ratio (arachidonic acid to eicosapentaenoic acid ratio), &lt;3:1</t>
  </si>
  <si>
    <t xml:space="preserve">Bredesen, Albumin, 4.5-5.4 g/dL </t>
  </si>
  <si>
    <t>Bredesen, Total cholesterol, 150 - 200 mg/dL</t>
  </si>
  <si>
    <t>Bredesen, HDL cholesterol, &gt;50 mg/dL</t>
  </si>
  <si>
    <t>Bredesen, Triglycerides, &lt; 150 mg/dL</t>
  </si>
  <si>
    <t xml:space="preserve">Bredesen, TG to HDL ratio, &lt;1.1 </t>
  </si>
  <si>
    <t>Bredesen, Potassium, 4.5 - 5.5 mmol/L</t>
  </si>
  <si>
    <t>Bredesen, Cortisol, 10 - 18 µg/dL</t>
  </si>
  <si>
    <t>Bredesen, DHEA-S, 150-500 mcg/dL</t>
  </si>
  <si>
    <t>Bredesen, Testosterone, 500 - 1000 ng/dL</t>
  </si>
  <si>
    <t>Bredesen, Free Testosterone, 18-26 pg/ml</t>
  </si>
  <si>
    <t>Bredesen, Free T3, 3.2-4.2 pg/mL</t>
  </si>
  <si>
    <t>Bredesen, Free T4, 1.3-1.8 ng/dL</t>
  </si>
  <si>
    <t>Bredesen, TSH, &lt;2.0 mIU/L</t>
  </si>
  <si>
    <t>Bredesen, Mercury, &lt;5 mcg/L</t>
  </si>
  <si>
    <t>Bredesen, Lead, &lt;2 mcg/dL</t>
  </si>
  <si>
    <t>Bredesen, Arsenic, &lt;7 mcg/L</t>
  </si>
  <si>
    <t>Bredesen, Cadmium, &lt;2.5 mcg/dL</t>
  </si>
  <si>
    <t>Кадмий (кровь), &lt; 0,00015 мкг/мл</t>
  </si>
  <si>
    <t>Bredesen, BUN – blood urea nitrogen, &lt;20 mg/dL</t>
  </si>
  <si>
    <t xml:space="preserve">Bredesen, Creatinine, &lt;1.0 mg/dL </t>
  </si>
  <si>
    <t>Bredesen, ALT, &lt; 25 U/L</t>
  </si>
  <si>
    <t>Bredesen, AST, &lt; 25 U/L</t>
  </si>
  <si>
    <t>Bredesen, Retinol, 38-98 mcg/dL</t>
  </si>
  <si>
    <t>Weight, kg</t>
  </si>
  <si>
    <t>Plasma Omega-3 index</t>
  </si>
  <si>
    <t>Harris, lower - better</t>
  </si>
  <si>
    <t>Levine Phenotypic Age</t>
  </si>
  <si>
    <t>"A New Epigenetic Clock for Aging and Life Expectancy", Talk by Morgan Levine</t>
  </si>
  <si>
    <t>Def.</t>
  </si>
  <si>
    <t>Albumin</t>
  </si>
  <si>
    <t>Creatinine</t>
  </si>
  <si>
    <t xml:space="preserve"> Glucose</t>
  </si>
  <si>
    <t>CRP</t>
  </si>
  <si>
    <t xml:space="preserve"> Lympocyte</t>
  </si>
  <si>
    <t>Mean Cell Volume</t>
  </si>
  <si>
    <t xml:space="preserve"> Red Cell Dist Width</t>
  </si>
  <si>
    <t xml:space="preserve"> Alkaline Phosphatase</t>
  </si>
  <si>
    <t>White Blood Cells</t>
  </si>
  <si>
    <t xml:space="preserve"> Age</t>
  </si>
  <si>
    <t>Input</t>
  </si>
  <si>
    <t>Units</t>
  </si>
  <si>
    <t>mg/dL</t>
  </si>
  <si>
    <t>mg/L</t>
  </si>
  <si>
    <t xml:space="preserve"> %</t>
  </si>
  <si>
    <t xml:space="preserve"> fL</t>
  </si>
  <si>
    <t xml:space="preserve"> U/L</t>
  </si>
  <si>
    <r>
      <t>10^3 cells/</t>
    </r>
    <r>
      <rPr>
        <sz val="10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L</t>
    </r>
  </si>
  <si>
    <t xml:space="preserve"> years</t>
  </si>
  <si>
    <t>Conv</t>
  </si>
  <si>
    <t>cInput</t>
  </si>
  <si>
    <t xml:space="preserve"> cUnits</t>
  </si>
  <si>
    <t>g/L</t>
  </si>
  <si>
    <r>
      <t>m</t>
    </r>
    <r>
      <rPr>
        <sz val="11"/>
        <color theme="1"/>
        <rFont val="Calibri"/>
        <family val="2"/>
        <scheme val="minor"/>
      </rPr>
      <t>mol/L</t>
    </r>
  </si>
  <si>
    <t>mmol/L</t>
  </si>
  <si>
    <t>Ln(mg/dL)</t>
  </si>
  <si>
    <t>Wts</t>
  </si>
  <si>
    <t>Terms</t>
  </si>
  <si>
    <t>Calculation:</t>
  </si>
  <si>
    <t>t</t>
  </si>
  <si>
    <t>years</t>
  </si>
  <si>
    <t>months</t>
  </si>
  <si>
    <t>g</t>
  </si>
  <si>
    <t>b0</t>
  </si>
  <si>
    <t>LinComb</t>
  </si>
  <si>
    <t>MortScore</t>
  </si>
  <si>
    <t>Ptypic Age</t>
  </si>
  <si>
    <t>est. DNAm Age</t>
  </si>
  <si>
    <t>est. D MScore</t>
  </si>
  <si>
    <t>Results</t>
  </si>
  <si>
    <t>pAge, lower - younger</t>
  </si>
  <si>
    <t>Фосфатаза щелочная, 40 — 150 Ед/л</t>
  </si>
  <si>
    <t>Alkaline phosphatase, ALP, U/L</t>
  </si>
  <si>
    <t>Билирубин общий, 3.4 — 20.5 мкмоль/л</t>
  </si>
  <si>
    <t>Общий белок, 64 — 83 г/л</t>
  </si>
  <si>
    <t>Fuhrman, IGF-1, 100 - 160 ng/ml</t>
  </si>
  <si>
    <t>Mercola, Ferritin, 40 - 60 ng/mL</t>
  </si>
  <si>
    <t>75.8 74.4</t>
  </si>
  <si>
    <t>76.9 75.7</t>
  </si>
  <si>
    <t>Protein total, g/dL</t>
  </si>
  <si>
    <t>Bilirubin total, mg/dL</t>
  </si>
  <si>
    <t>Aging.AI3.0</t>
  </si>
  <si>
    <t>Медь (сыворотка), Copper, 0.75 — 1.50 мкг/мл</t>
  </si>
  <si>
    <t>Йод (сыворотка), Iodine, 0.05 — 0.10 мкг/мл</t>
  </si>
  <si>
    <t>Омега-3 индекс, Omega-3 index, &gt;8 %</t>
  </si>
  <si>
    <t>СОЭ, ESR, &lt; 15 мм/ч</t>
  </si>
  <si>
    <t>Трансферрин, Transferrin, 2.15 — 3.66 г/л</t>
  </si>
  <si>
    <t>Латентная железосвяз. Способность, Latent iron-binding capacity, 12.4 — 43.0 мкмоль/л</t>
  </si>
  <si>
    <t>ИСТ- индекс своб. Тестостерона, Free testosterone index, 24.5 — 113.3 %</t>
  </si>
  <si>
    <t>Лептин, Leptin, 0.5 — 13.8 нг/мл</t>
  </si>
  <si>
    <t>Цинк (кровь), Zinc (blood), 6.00 — 9.00 мкг/мл</t>
  </si>
  <si>
    <t>Bredesen, Zinc (serum), 100 mcg/dL</t>
  </si>
  <si>
    <t xml:space="preserve">Цинк, сыворотка (Zinc, Serum; Zn), 0,75-1,50 мкг/мл. </t>
  </si>
  <si>
    <t>Bredesen, Copper, 100 mcg/dL</t>
  </si>
  <si>
    <t>Bredesen, Zinc:Copper, 1</t>
  </si>
  <si>
    <t>ML, &lt; 12.5</t>
  </si>
  <si>
    <t>ML, 4.5 - 4.8</t>
  </si>
  <si>
    <t>ML, 80 - 94</t>
  </si>
  <si>
    <t>Longo, IGF-1, 120 - 160 ng/ml (150 optimal)</t>
  </si>
  <si>
    <t>Masterjohn, 18-22</t>
  </si>
  <si>
    <t>Glucose</t>
  </si>
  <si>
    <t>Alkaline Phosphatase</t>
  </si>
  <si>
    <t>g/dL</t>
  </si>
  <si>
    <t>Blood Marker</t>
  </si>
  <si>
    <t>Protein total</t>
  </si>
  <si>
    <t>Sodium</t>
  </si>
  <si>
    <t>Hemoglobin</t>
  </si>
  <si>
    <t>Bilirubin total</t>
  </si>
  <si>
    <t>Triglycerides</t>
  </si>
  <si>
    <t>HDL Cholesterol</t>
  </si>
  <si>
    <t>Calcium</t>
  </si>
  <si>
    <t>Potassium</t>
  </si>
  <si>
    <t>Hematocrit</t>
  </si>
  <si>
    <t>MCHC</t>
  </si>
  <si>
    <t>Platelets</t>
  </si>
  <si>
    <t>Erythrocytes (RBC)</t>
  </si>
  <si>
    <t>%</t>
  </si>
  <si>
    <r>
      <t>10^6 cells/</t>
    </r>
    <r>
      <rPr>
        <sz val="10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L</t>
    </r>
  </si>
  <si>
    <t>Cholesterol total</t>
  </si>
  <si>
    <t>Homocysteine</t>
  </si>
  <si>
    <t>μmol/L</t>
  </si>
  <si>
    <t>AST</t>
  </si>
  <si>
    <t>ALT</t>
  </si>
  <si>
    <t>Neutrophils</t>
  </si>
  <si>
    <t>Lymphocytes</t>
  </si>
  <si>
    <t>LDL cholesterol</t>
  </si>
  <si>
    <t>Urea Nitrogen (BUN)</t>
  </si>
  <si>
    <t>Monocytes</t>
  </si>
  <si>
    <t>Mean Cell/Corpuscular Volume (MCV)</t>
  </si>
  <si>
    <t>Red Cell Dist Width (RDW)</t>
  </si>
  <si>
    <t>Билирубин непрямой, &lt;19.0 мкмоль/л</t>
  </si>
  <si>
    <t>Lymphocyte</t>
  </si>
  <si>
    <t>72.8 71.6</t>
  </si>
  <si>
    <t>Витамин В7, H (биотин), 0.221 - 3.004 нг/мл</t>
  </si>
  <si>
    <t>Витамин В3 (никотинамид), 5.2 - 72.1 нг/мл</t>
  </si>
  <si>
    <t>Витамин В5 (пантотеновая кислота), 0.037 - 0.147 мкг/мл</t>
  </si>
  <si>
    <t>Витамин В2 (рибофлавин), 40 - 240 нг/мл</t>
  </si>
  <si>
    <t>Витамин В1 (тиамин), 1.06 - 3.98 нг/мл</t>
  </si>
  <si>
    <t>Хлор, Chloride, 101 — 110 ммоль/л</t>
  </si>
  <si>
    <r>
      <t>cells/</t>
    </r>
    <r>
      <rPr>
        <sz val="10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L</t>
    </r>
  </si>
  <si>
    <t>Марганец (кровь) (Manganese, blood; Mn), 0.007 - 0.015</t>
  </si>
  <si>
    <t>Билирубин прямой (Bilirubin direct), &lt;8.6 мкмоль/л</t>
  </si>
  <si>
    <t>Мочевая кислота (Uric acid), 210 — 420 мкмоль/л</t>
  </si>
  <si>
    <t>Холестерин не-ЛПВП (Non-HDL Cholesterol), &lt;3,8 ммоль/л</t>
  </si>
  <si>
    <t>Т3 общий (Total Triiodthyronine, TT3), 0.98 — 2.33 нмоль/л</t>
  </si>
  <si>
    <t>Т4 общий (Total Thyroxine, TT4), 62.68 — 150.84 нмоль/л</t>
  </si>
  <si>
    <t>Т3 реверсивный (Reverse T3; rT3), 92 - 241 пг/мл</t>
  </si>
  <si>
    <t>АТ-ТГ (Anti-Thyroglobulin Autoantibodies, Thyroglobulin Antibodies), &lt;18.0</t>
  </si>
  <si>
    <t>АТ-ТПО (Anti-Thyroid Peroxidase Autoantibodies), &lt; 5.6</t>
  </si>
  <si>
    <t>Паратгормон (Parathyroid Hormone, PTH), 1.45 — 10.41 пмоль/л</t>
  </si>
  <si>
    <t>Интерлейкин 1 бета (IL-1beta, Interleukin 1 beta, IL-1b) , &lt; 5.0</t>
  </si>
  <si>
    <t>Интерлейкин 6 (Interleukin 6, IL-6) , &lt; 7.0</t>
  </si>
  <si>
    <t>Цистатин С (Cystatin C), 0.5 - 1.2 мг/л</t>
  </si>
  <si>
    <t>Genova ION, 13-80</t>
  </si>
  <si>
    <t>Genova ION, 5-210</t>
  </si>
  <si>
    <t>Genova ION, 31-213</t>
  </si>
  <si>
    <t>Genova ION, 821-2032</t>
  </si>
  <si>
    <t>Genova ION, 5-46</t>
  </si>
  <si>
    <t>Genova ION, 27-140</t>
  </si>
  <si>
    <t>Genova ION, 158-521</t>
  </si>
  <si>
    <t>Genova ION, 2.6-18.1</t>
  </si>
  <si>
    <t>Genova ION, &lt;8.3</t>
  </si>
  <si>
    <t>Genova ION, 466-1470</t>
  </si>
  <si>
    <t>Genova ION, 11-50, w3</t>
  </si>
  <si>
    <t>LabCorp, 0.05 - 0.83</t>
  </si>
  <si>
    <t>Mangan, Ferritin, 50 - 70 ng/mL</t>
  </si>
  <si>
    <t>ВИЧ 1/2 (антитела и антиген p24, HIV Ag/Ab Combo)</t>
  </si>
  <si>
    <t>negative</t>
  </si>
  <si>
    <t>HBsAg (кач.)</t>
  </si>
  <si>
    <t>anti - HCV total</t>
  </si>
  <si>
    <t>Витамин B6, пиридоксаль-5-фосфат, плазма (Vitamin B6, Pyridoxal-5-Phosphate, PLP), 5 — 50 нг/мл</t>
  </si>
  <si>
    <t>&lt; 8.87</t>
  </si>
  <si>
    <t>&lt; 1.67</t>
  </si>
  <si>
    <t>&lt; 2.00</t>
  </si>
  <si>
    <t>&lt; 4.86</t>
  </si>
  <si>
    <t>&lt; 1.71</t>
  </si>
  <si>
    <t>&lt; 3.06</t>
  </si>
  <si>
    <t>&lt; 6.88</t>
  </si>
  <si>
    <t>&lt; 3.08</t>
  </si>
  <si>
    <t>&lt; 2.39</t>
  </si>
  <si>
    <t>&lt; 2.43</t>
  </si>
  <si>
    <t>&lt; 2.35</t>
  </si>
  <si>
    <t>&lt; 4.8</t>
  </si>
  <si>
    <t>&lt; 2.41</t>
  </si>
  <si>
    <t>&lt; 3.32</t>
  </si>
  <si>
    <t>&lt; 5.2</t>
  </si>
  <si>
    <t>&lt; 8.65</t>
  </si>
  <si>
    <t>&lt; 1.55</t>
  </si>
  <si>
    <t>&lt; 3</t>
  </si>
  <si>
    <t>Фибриноген (Fibrinogen), 2.0 — 4.0 г/л</t>
  </si>
  <si>
    <t>Липопротеин (а) (Lipoprotein (a), Lp(a)), &lt; 0,5 г/л</t>
  </si>
  <si>
    <t>74.6 72.7</t>
  </si>
  <si>
    <t>Levine</t>
  </si>
  <si>
    <t>&lt; 38.3</t>
  </si>
  <si>
    <t>Литий, сыворотка (Lithium, serum) , 0,40 - 1,20 ммоль/л</t>
  </si>
  <si>
    <t>Мочевина (Urea), 2.1 — 7.1 ммоль/л</t>
  </si>
  <si>
    <t>Аргинин (Arg, Arginine), 7.0 — 111.0 мкмоль/л</t>
  </si>
  <si>
    <t>Валин (Val, Valine), 129.6 — 316.4 мкмоль/л</t>
  </si>
  <si>
    <t>Гистидин (His, Histidine), 46.0 — 95.0 мкмоль/л</t>
  </si>
  <si>
    <t>Метионин (Met, Methionine), 12.90 — 32.90 мкмоль/л</t>
  </si>
  <si>
    <t>Треонин (Thr, Threonine), 60.5 — 273.5 мкмоль/л</t>
  </si>
  <si>
    <t>Лейцин (Leu, Leucine), 75.7 — 157.0 мкмоль/л</t>
  </si>
  <si>
    <t>Лизин (Lys, Lysine), 116.2 — 271.6 мкмоль/л</t>
  </si>
  <si>
    <t>Изолейцин (Ile, Isoleucine), 36.7 — 94.7 мкмоль/л</t>
  </si>
  <si>
    <t>Триптофан (Trp, Tryptophan), 31.8 — 69.0 мкмоль/л</t>
  </si>
  <si>
    <t>Фенилаланин (Phe, Phenylalanine), 29.50 — 92.00 мкмоль/л</t>
  </si>
  <si>
    <t>Аланин (Ala, Alanine), 188 — 624 мкмоль/л</t>
  </si>
  <si>
    <t>Аспарагин (Asn, Asparagine), 27.9 — 67.6 мкмоль/л</t>
  </si>
  <si>
    <t>Аспарагиновая кислота (Asp, Aspartic acid), &lt; 14.70</t>
  </si>
  <si>
    <t>Глицин (Gly, Glycine), 98.7 — 383.9 мкмоль/л</t>
  </si>
  <si>
    <t>Глутамин (Gln, Glutamine), 314.6 — 746.0 мкмоль/л</t>
  </si>
  <si>
    <t>Пролин (Pro, Proline), 90.0 — 226.7 мкмоль/л</t>
  </si>
  <si>
    <t>Серин (Ser, Serine), 69.0 — 170.5 мкмоль/л</t>
  </si>
  <si>
    <t>Таурин (Tau, Taurine), 35.9 — 227.9 мкмоль/л</t>
  </si>
  <si>
    <t>Тирозин (Tyr, Tyrosine), 26.3 — 84.8 мкмоль/л</t>
  </si>
  <si>
    <t>Аргинин-янтарная кислота, аргининосукцинат (Ars, Argininosuccinic acid), &lt; 2.00</t>
  </si>
  <si>
    <t>Гомоцитруллин (Hci, Homocitrulline), &lt; 5.00</t>
  </si>
  <si>
    <t>Орнитин (Orn, Ornithine), 30.4 — 184.3 мкмоль/л</t>
  </si>
  <si>
    <t>Цитруллин (Cit, Citrulline), 17.50 — 41.10 мкмоль/л</t>
  </si>
  <si>
    <t>Аденозилгомоцистеин (Agc, Adenosylhomocysteine), &lt; 2.00</t>
  </si>
  <si>
    <t>Гомоцистин (Hcy, Homocystine) &lt; 3.00</t>
  </si>
  <si>
    <t>Цистатионин (Cyst, Cystathionine), &lt; 4.00</t>
  </si>
  <si>
    <t>Цистеинсульфат(SSC,  S-Sulfocysteine), &lt; 8.00</t>
  </si>
  <si>
    <t>Цистин (Cys, Cystine), 7.40 — 46.00 мкмоль/л</t>
  </si>
  <si>
    <t>Альфа-аминоадипиновая кислота (Aad, alpha-Aminoadipic acid, 2-Aminohexanedioic acid, ), &lt; 5.00</t>
  </si>
  <si>
    <t>Пипеколиновая кислота(PA, Pipecolic acid), &lt; 3.20</t>
  </si>
  <si>
    <t>Сахаропин (Sac, Saccharopine), &lt; 3.00</t>
  </si>
  <si>
    <t>Гидроксилизин (Hly, Hydroxylysine), &lt; 3.00</t>
  </si>
  <si>
    <t>Гидроксипролин (Hyp, Hydroxyproline), 4.90 — 21.90 мкмоль/л</t>
  </si>
  <si>
    <t>3-Метилгистидин (3-MH, 3-Methylhistidine), 0.0 — 23.1 мкмоль/л</t>
  </si>
  <si>
    <t>1-Метилгистидин (1-MH, 1-Methylhistidine), 2.3 — 7.0 мкмоль/л</t>
  </si>
  <si>
    <t>Ансерин (Ans, Anserine), &lt; 3.00</t>
  </si>
  <si>
    <t>Бета-аланин (Bal, beta-Alanine), &lt; 10.00</t>
  </si>
  <si>
    <t>Карнозин (Car, Carnosine), &lt; 5.0</t>
  </si>
  <si>
    <t>Саркозин (Sar, Sarcosine), 2.40 — 12.90 мкмоль/л</t>
  </si>
  <si>
    <t>Альфа-аминомасляная кислота (Abu, alpha-Aminobutyric acid), 11.80 — 45.90 мкмоль/л</t>
  </si>
  <si>
    <t>Бета-аминоизомасляная кислота (bAib, beta-Aminoisobutyric acid), 0.00 — 3.20 мкмоль/л</t>
  </si>
  <si>
    <t>Гамма-аминомасляная кислота (gAbu, gamma-Aminobutyric acid), 0.00 — 5.00 мкмоль/л</t>
  </si>
  <si>
    <t>Фосфосерин (Pse, Phosphoserine), &lt; 4.00</t>
  </si>
  <si>
    <t>Фосфоэтаноламин (Pet, Phosphoethanolamine), 0.0 — 14.2 мкмоль/л</t>
  </si>
  <si>
    <t>Этаноламин (Eta, Ethanolamine), &lt; 15.30</t>
  </si>
  <si>
    <t>Алло-изолейцин (Ail, Alloisoleucine), 0.00 — 3.00 мкмоль/л</t>
  </si>
  <si>
    <t>Ацетилтирозин (Aty, Acetyl tyrosine), 0 — 130 мкмоль/л</t>
  </si>
  <si>
    <t>+</t>
  </si>
  <si>
    <t>Глутаминовая кислота (Glu, Glutamic acid, Glutamate), 40.0 — 159.7 мкмоль/л</t>
  </si>
  <si>
    <t>-</t>
  </si>
  <si>
    <t>-?</t>
  </si>
  <si>
    <t>74.2 72.6</t>
  </si>
  <si>
    <t>Палочкоядерные нейтрофилы, 1 - 6 %</t>
  </si>
  <si>
    <t>Сегментоядерные нейтрофилы, 47 - 72 %</t>
  </si>
  <si>
    <t>Аполипопротеин В (Apolipoprotein B), г/л</t>
  </si>
  <si>
    <t>&lt;6.99</t>
  </si>
  <si>
    <t>&lt;2.28</t>
  </si>
  <si>
    <t>Активный витамин В12, Голотранскобаламин (Active-B12, Holotranscobalamin), 25 - 165 пмоль/л</t>
  </si>
  <si>
    <t>Лактат (Молочная кислота, Lactate), 0.5 - 2.2 ммоль/л</t>
  </si>
  <si>
    <t>Альфа-Амилаза (Диастаза, Alpha-Amylase), 25 — 125 Ед/л</t>
  </si>
  <si>
    <t>Δ</t>
  </si>
  <si>
    <t>HR</t>
  </si>
  <si>
    <t>Age</t>
  </si>
  <si>
    <t>ΔHR</t>
  </si>
  <si>
    <t>ΔAge</t>
  </si>
  <si>
    <t>&gt;1.5</t>
  </si>
  <si>
    <t>&gt;90</t>
  </si>
  <si>
    <t>Cystatin C</t>
  </si>
  <si>
    <t>BMI</t>
  </si>
  <si>
    <t>Соматомедин - С, 92 — 229 нг/мл</t>
  </si>
  <si>
    <t>Гомоцистеин (Hcy), 0 — 15 мкмоль/л</t>
  </si>
  <si>
    <t>N-aцетилтирозин, 257 - 405 нмоль/л</t>
  </si>
  <si>
    <t>N-ацетиласпарт (NAA), 181.9 - 669.17 нмоль/л</t>
  </si>
  <si>
    <t>N-ацетилфенилаланин, &lt;0 нмоль/л</t>
  </si>
  <si>
    <t>N-ацетилцистеин, 41.8 - 115.4 нмоль/л</t>
  </si>
  <si>
    <t>Bredesen, Selenium, 110-150 ng/mL</t>
  </si>
  <si>
    <t>73.3 71.5</t>
  </si>
  <si>
    <t>74.3 72.6</t>
  </si>
  <si>
    <t>Biological age</t>
  </si>
  <si>
    <t>Biological Age Acceleration</t>
  </si>
  <si>
    <t>Chronological age</t>
  </si>
  <si>
    <t>Apolipoprotein A</t>
  </si>
  <si>
    <t>Platelet crit</t>
  </si>
  <si>
    <t>pg</t>
  </si>
  <si>
    <t>Mean Corpuscular Hemoglobin (MCH)</t>
  </si>
  <si>
    <t>Platelet distribution width (PDW)</t>
  </si>
  <si>
    <t>High light scatter reticulocytes</t>
  </si>
  <si>
    <t>ng/mL</t>
  </si>
  <si>
    <t>Vitamin D</t>
  </si>
  <si>
    <t>nmol/L</t>
  </si>
  <si>
    <t>SHBG</t>
  </si>
  <si>
    <t>Mean Sphered Cell Volume (MSCV)</t>
  </si>
  <si>
    <r>
      <t>10</t>
    </r>
    <r>
      <rPr>
        <vertAlign val="superscript"/>
        <sz val="11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scheme val="minor"/>
      </rPr>
      <t xml:space="preserve"> cells/</t>
    </r>
    <r>
      <rPr>
        <sz val="10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L</t>
    </r>
  </si>
  <si>
    <t>U/L</t>
  </si>
  <si>
    <t>GGT</t>
  </si>
  <si>
    <t>HbA1c</t>
  </si>
  <si>
    <t>age</t>
  </si>
  <si>
    <t>M</t>
  </si>
  <si>
    <t>Sex</t>
  </si>
  <si>
    <t>Birth date</t>
  </si>
  <si>
    <t>Test date</t>
  </si>
  <si>
    <t>Аполипопротеин А1 (Apolipoprotein A-1), г/л</t>
  </si>
  <si>
    <t>74.4 73.2</t>
  </si>
  <si>
    <t>ENC</t>
  </si>
  <si>
    <t>Apolipoprotein A, mg/dL</t>
  </si>
  <si>
    <t>FT3/FT4</t>
  </si>
  <si>
    <t>75.0 73.6</t>
  </si>
  <si>
    <t>80.3 78.6</t>
  </si>
  <si>
    <t>Ig G, 5.4 - 18.22 г/л</t>
  </si>
  <si>
    <t>78.3 77.4</t>
  </si>
  <si>
    <t>Immunoglobulin G, mg/dL</t>
  </si>
  <si>
    <t>Uric Acid, mg/dL</t>
  </si>
  <si>
    <t>Apolipoprotein B, mg/dL</t>
  </si>
  <si>
    <t>Норадреналин, 70 - 750 пг/мл</t>
  </si>
  <si>
    <t>Дофамин, &lt; 87 пг/мл</t>
  </si>
  <si>
    <t>Адреналин, &lt; 110 пг/мл</t>
  </si>
  <si>
    <t>Quest Diagnostics, Dopamine, Plasma &lt;27 pg/mL</t>
  </si>
  <si>
    <t>Quest Diagnostics, Norepinephrine, Plasma, 199-937 pg/mL</t>
  </si>
  <si>
    <t>Quest Diagnostics, Epinephrine, Plasma, &lt;82 pg/mL</t>
  </si>
  <si>
    <t>CD4/CD8, ratio, 1.8 - 2.2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</si>
</sst>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b/>
      <sz val="10"/>
      <color indexed="10"/>
      <name val="Arial"/>
      <family val="2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BE5FF"/>
        <bgColor theme="4" tint="0.79995117038483843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double">
        <color rgb="FF00B05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56">
    <xf numFmtId="0" fontId="0" fillId="0" borderId="0" xfId="0"/>
    <xf numFmtId="1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0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8" xfId="0" applyBorder="1"/>
    <xf numFmtId="0" fontId="3" fillId="0" borderId="5" xfId="0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7" xfId="0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0" fillId="0" borderId="7" xfId="0" applyNumberFormat="1" applyBorder="1"/>
    <xf numFmtId="0" fontId="3" fillId="0" borderId="9" xfId="0" applyFont="1" applyBorder="1" applyAlignment="1">
      <alignment horizontal="left"/>
    </xf>
    <xf numFmtId="0" fontId="0" fillId="0" borderId="10" xfId="0" applyBorder="1"/>
    <xf numFmtId="0" fontId="3" fillId="0" borderId="4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7" xfId="0" applyBorder="1"/>
    <xf numFmtId="0" fontId="0" fillId="0" borderId="3" xfId="0" applyBorder="1"/>
    <xf numFmtId="2" fontId="3" fillId="0" borderId="1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166" fontId="8" fillId="0" borderId="11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6" fontId="8" fillId="0" borderId="12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quotePrefix="1"/>
    <xf numFmtId="2" fontId="10" fillId="0" borderId="0" xfId="0" applyNumberFormat="1" applyFont="1"/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2" fontId="0" fillId="2" borderId="0" xfId="0" applyNumberFormat="1" applyFill="1"/>
    <xf numFmtId="15" fontId="10" fillId="0" borderId="0" xfId="0" applyNumberFormat="1" applyFont="1" applyAlignment="1">
      <alignment horizontal="center"/>
    </xf>
    <xf numFmtId="0" fontId="2" fillId="0" borderId="1" xfId="1" applyBorder="1" applyAlignment="1" applyProtection="1">
      <alignment horizontal="center"/>
    </xf>
    <xf numFmtId="0" fontId="2" fillId="0" borderId="2" xfId="1" applyBorder="1" applyAlignment="1" applyProtection="1">
      <alignment horizontal="center"/>
    </xf>
    <xf numFmtId="0" fontId="2" fillId="0" borderId="3" xfId="1" applyBorder="1" applyAlignment="1" applyProtection="1">
      <alignment horizontal="center"/>
    </xf>
  </cellXfs>
  <cellStyles count="3">
    <cellStyle name="Hyperlink" xfId="1" builtinId="8"/>
    <cellStyle name="Normal" xfId="0" builtinId="0"/>
    <cellStyle name="Normal 2" xfId="2" xr:uid="{1E0BF324-7FBE-407F-9177-1DB3FD62FF2B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322F3-BC84-45F8-859D-AF401D763599}">
  <dimension ref="A1:AL414"/>
  <sheetViews>
    <sheetView tabSelected="1" zoomScale="110" zoomScaleNormal="11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7" sqref="C27"/>
    </sheetView>
  </sheetViews>
  <sheetFormatPr defaultRowHeight="15" x14ac:dyDescent="0.25"/>
  <cols>
    <col min="1" max="1" width="92.85546875" bestFit="1" customWidth="1"/>
    <col min="2" max="2" width="31" customWidth="1"/>
    <col min="3" max="3" width="12.7109375" customWidth="1"/>
    <col min="4" max="7" width="16.42578125" customWidth="1"/>
    <col min="8" max="8" width="12.7109375" customWidth="1"/>
    <col min="9" max="9" width="16.42578125" customWidth="1"/>
    <col min="10" max="14" width="12.7109375" customWidth="1"/>
    <col min="15" max="15" width="9.85546875" bestFit="1" customWidth="1"/>
    <col min="16" max="16" width="12.7109375" customWidth="1"/>
    <col min="17" max="17" width="9.7109375" bestFit="1" customWidth="1"/>
    <col min="23" max="23" width="9.7109375" bestFit="1" customWidth="1"/>
    <col min="24" max="37" width="9.7109375" customWidth="1"/>
  </cols>
  <sheetData>
    <row r="1" spans="1:38" x14ac:dyDescent="0.25">
      <c r="B1" s="1">
        <v>45881</v>
      </c>
      <c r="C1" s="1">
        <v>45642</v>
      </c>
      <c r="D1" s="1">
        <v>45620</v>
      </c>
      <c r="E1" s="1">
        <v>45579</v>
      </c>
      <c r="F1" s="1">
        <v>45521</v>
      </c>
      <c r="G1" s="1">
        <v>45496</v>
      </c>
      <c r="H1" s="1">
        <v>45474</v>
      </c>
      <c r="I1" s="1">
        <v>45433</v>
      </c>
      <c r="J1" s="1">
        <v>45390</v>
      </c>
      <c r="K1" s="1">
        <v>45316</v>
      </c>
      <c r="L1" s="1">
        <v>45294</v>
      </c>
      <c r="M1" s="1">
        <v>45208</v>
      </c>
      <c r="N1" s="1">
        <v>45082</v>
      </c>
      <c r="O1" s="1">
        <v>45007</v>
      </c>
      <c r="P1" s="1">
        <v>44963</v>
      </c>
      <c r="Q1" s="1">
        <v>44818</v>
      </c>
      <c r="R1" s="1">
        <v>44720</v>
      </c>
      <c r="S1" s="1">
        <v>44507</v>
      </c>
      <c r="T1" s="1">
        <v>44416</v>
      </c>
      <c r="U1" s="1">
        <v>44356</v>
      </c>
      <c r="V1" s="1">
        <v>44293</v>
      </c>
      <c r="W1" s="1">
        <v>44187</v>
      </c>
      <c r="X1" s="1">
        <v>44104</v>
      </c>
      <c r="Y1" s="1">
        <v>43778</v>
      </c>
      <c r="Z1" s="1">
        <v>43537</v>
      </c>
      <c r="AA1" s="1">
        <v>43371</v>
      </c>
      <c r="AB1" s="1">
        <v>43248</v>
      </c>
      <c r="AC1" s="1">
        <v>43172</v>
      </c>
      <c r="AD1" s="1">
        <v>42830</v>
      </c>
      <c r="AE1" s="1">
        <v>42427</v>
      </c>
      <c r="AF1" s="1">
        <v>41645</v>
      </c>
      <c r="AG1" s="1">
        <v>40367</v>
      </c>
      <c r="AH1" s="1">
        <v>40320</v>
      </c>
      <c r="AI1" s="1">
        <v>40234</v>
      </c>
      <c r="AJ1" s="1">
        <v>40122</v>
      </c>
      <c r="AK1" s="1">
        <v>40100</v>
      </c>
      <c r="AL1" s="1"/>
    </row>
    <row r="2" spans="1:38" x14ac:dyDescent="0.25">
      <c r="A2" t="s">
        <v>0</v>
      </c>
      <c r="L2">
        <v>7.9000000000000008E-3</v>
      </c>
      <c r="P2">
        <v>3.5000000000000001E-3</v>
      </c>
      <c r="Q2">
        <v>2.7000000000000001E-3</v>
      </c>
      <c r="R2">
        <v>4.5999999999999999E-3</v>
      </c>
      <c r="S2">
        <v>2.3E-3</v>
      </c>
      <c r="T2">
        <v>3.3999999999999998E-3</v>
      </c>
      <c r="U2">
        <v>3.7000000000000002E-3</v>
      </c>
    </row>
    <row r="3" spans="1:38" x14ac:dyDescent="0.25">
      <c r="A3" t="s">
        <v>151</v>
      </c>
      <c r="L3">
        <f t="shared" ref="L3" si="0">L2*1000</f>
        <v>7.9</v>
      </c>
      <c r="P3">
        <f t="shared" ref="P3:U3" si="1">P2*1000</f>
        <v>3.5</v>
      </c>
      <c r="Q3">
        <f t="shared" si="1"/>
        <v>2.7</v>
      </c>
      <c r="R3">
        <f t="shared" si="1"/>
        <v>4.5999999999999996</v>
      </c>
      <c r="S3">
        <f t="shared" si="1"/>
        <v>2.2999999999999998</v>
      </c>
      <c r="T3">
        <f t="shared" si="1"/>
        <v>3.4</v>
      </c>
      <c r="U3">
        <f t="shared" si="1"/>
        <v>3.7</v>
      </c>
    </row>
    <row r="5" spans="1:38" x14ac:dyDescent="0.25">
      <c r="A5" t="s">
        <v>217</v>
      </c>
      <c r="B5">
        <v>0.73655000000000004</v>
      </c>
      <c r="C5">
        <v>1.0900000000000001</v>
      </c>
      <c r="H5">
        <v>0.79</v>
      </c>
      <c r="J5">
        <v>0.76900000000000002</v>
      </c>
      <c r="L5">
        <v>0.84699999999999998</v>
      </c>
      <c r="M5">
        <v>0.98899999999999999</v>
      </c>
      <c r="N5">
        <v>0.85299999999999998</v>
      </c>
      <c r="P5">
        <v>0.91400000000000003</v>
      </c>
      <c r="Q5">
        <v>0.73</v>
      </c>
      <c r="R5">
        <v>0.71</v>
      </c>
      <c r="S5">
        <v>0.745</v>
      </c>
      <c r="T5">
        <v>0.89700000000000002</v>
      </c>
      <c r="U5">
        <v>0.93100000000000005</v>
      </c>
    </row>
    <row r="6" spans="1:38" x14ac:dyDescent="0.25">
      <c r="A6" t="s">
        <v>228</v>
      </c>
      <c r="B6">
        <f>B5*100</f>
        <v>73.655000000000001</v>
      </c>
      <c r="C6">
        <f>C5*100</f>
        <v>109.00000000000001</v>
      </c>
      <c r="H6">
        <f>H5*100</f>
        <v>79</v>
      </c>
      <c r="J6">
        <f>J5*100</f>
        <v>76.900000000000006</v>
      </c>
      <c r="L6">
        <f>L5*100</f>
        <v>84.7</v>
      </c>
      <c r="M6">
        <f>M5*100</f>
        <v>98.9</v>
      </c>
      <c r="N6">
        <f>N5*100</f>
        <v>85.3</v>
      </c>
      <c r="P6">
        <f>P5*100</f>
        <v>91.4</v>
      </c>
      <c r="Q6">
        <f>Q5*100</f>
        <v>73</v>
      </c>
      <c r="R6">
        <f t="shared" ref="R6:U6" si="2">R5*100</f>
        <v>71</v>
      </c>
      <c r="S6">
        <f t="shared" si="2"/>
        <v>74.5</v>
      </c>
      <c r="T6">
        <f t="shared" si="2"/>
        <v>89.7</v>
      </c>
      <c r="U6">
        <f t="shared" si="2"/>
        <v>93.100000000000009</v>
      </c>
    </row>
    <row r="8" spans="1:38" x14ac:dyDescent="0.25">
      <c r="A8" t="s">
        <v>218</v>
      </c>
      <c r="N8">
        <v>5.3999999999999999E-2</v>
      </c>
      <c r="P8">
        <v>6.2E-2</v>
      </c>
      <c r="Q8">
        <v>6.3E-2</v>
      </c>
      <c r="R8">
        <v>5.0999999999999997E-2</v>
      </c>
      <c r="S8">
        <v>4.5999999999999999E-2</v>
      </c>
    </row>
    <row r="10" spans="1:38" x14ac:dyDescent="0.25">
      <c r="A10" t="s">
        <v>1</v>
      </c>
      <c r="B10">
        <v>0.15436</v>
      </c>
      <c r="C10">
        <v>0.13100000000000001</v>
      </c>
      <c r="H10">
        <v>0.124</v>
      </c>
      <c r="J10">
        <v>0.152</v>
      </c>
      <c r="L10">
        <v>0.13200000000000001</v>
      </c>
      <c r="M10">
        <v>0.104</v>
      </c>
      <c r="N10">
        <v>0.11600000000000001</v>
      </c>
      <c r="P10">
        <v>0.1</v>
      </c>
      <c r="Q10">
        <v>0.112</v>
      </c>
      <c r="R10">
        <v>0.123</v>
      </c>
      <c r="S10">
        <v>9.8000000000000004E-2</v>
      </c>
      <c r="T10">
        <v>0.129</v>
      </c>
      <c r="U10">
        <v>0.124</v>
      </c>
      <c r="Z10">
        <v>9.8000000000000004E-2</v>
      </c>
    </row>
    <row r="11" spans="1:38" x14ac:dyDescent="0.25">
      <c r="A11" t="s">
        <v>406</v>
      </c>
      <c r="B11">
        <f t="shared" ref="B11:C11" si="3">B10*1000</f>
        <v>154.35999999999999</v>
      </c>
      <c r="C11">
        <f t="shared" si="3"/>
        <v>131</v>
      </c>
      <c r="H11">
        <f t="shared" ref="H11:J11" si="4">H10*1000</f>
        <v>124</v>
      </c>
      <c r="J11">
        <f t="shared" si="4"/>
        <v>152</v>
      </c>
      <c r="L11">
        <f t="shared" ref="L11" si="5">L10*1000</f>
        <v>132</v>
      </c>
      <c r="M11">
        <f t="shared" ref="M11:N11" si="6">M10*1000</f>
        <v>104</v>
      </c>
      <c r="N11">
        <f t="shared" si="6"/>
        <v>116</v>
      </c>
      <c r="P11">
        <f t="shared" ref="P11:U11" si="7">P10*1000</f>
        <v>100</v>
      </c>
      <c r="Q11">
        <f t="shared" si="7"/>
        <v>112</v>
      </c>
      <c r="R11">
        <f t="shared" si="7"/>
        <v>123</v>
      </c>
      <c r="S11">
        <f t="shared" si="7"/>
        <v>98</v>
      </c>
      <c r="T11">
        <f t="shared" si="7"/>
        <v>129</v>
      </c>
      <c r="U11">
        <f t="shared" si="7"/>
        <v>124</v>
      </c>
      <c r="Z11">
        <f>Z10*1000</f>
        <v>98</v>
      </c>
    </row>
    <row r="13" spans="1:38" x14ac:dyDescent="0.25">
      <c r="A13" t="s">
        <v>153</v>
      </c>
      <c r="L13">
        <v>2.5000000000000001E-4</v>
      </c>
      <c r="P13">
        <v>1.0000000000000001E-5</v>
      </c>
      <c r="Q13">
        <v>1.2E-4</v>
      </c>
      <c r="R13">
        <v>1.7000000000000001E-4</v>
      </c>
      <c r="S13">
        <v>3.6000000000000002E-4</v>
      </c>
      <c r="T13">
        <v>2.7E-4</v>
      </c>
      <c r="U13">
        <v>5.0000000000000002E-5</v>
      </c>
    </row>
    <row r="14" spans="1:38" x14ac:dyDescent="0.25">
      <c r="A14" t="s">
        <v>152</v>
      </c>
      <c r="L14">
        <f>L13*100</f>
        <v>2.5000000000000001E-2</v>
      </c>
      <c r="P14">
        <f t="shared" ref="P14:U14" si="8">P13*100</f>
        <v>1E-3</v>
      </c>
      <c r="Q14">
        <f t="shared" si="8"/>
        <v>1.2E-2</v>
      </c>
      <c r="R14">
        <f t="shared" si="8"/>
        <v>1.7000000000000001E-2</v>
      </c>
      <c r="S14">
        <f t="shared" si="8"/>
        <v>3.6000000000000004E-2</v>
      </c>
      <c r="T14">
        <f t="shared" si="8"/>
        <v>2.7E-2</v>
      </c>
      <c r="U14">
        <f t="shared" si="8"/>
        <v>5.0000000000000001E-3</v>
      </c>
    </row>
    <row r="16" spans="1:38" x14ac:dyDescent="0.25">
      <c r="A16" t="s">
        <v>2</v>
      </c>
      <c r="L16">
        <v>5.0000000000000001E-4</v>
      </c>
      <c r="P16">
        <v>5.0000000000000001E-4</v>
      </c>
      <c r="Q16">
        <v>5.0000000000000001E-4</v>
      </c>
      <c r="R16">
        <v>3.6000000000000002E-4</v>
      </c>
      <c r="S16">
        <v>3.6000000000000002E-4</v>
      </c>
      <c r="T16">
        <v>3.6000000000000002E-4</v>
      </c>
      <c r="U16">
        <v>7.1000000000000002E-4</v>
      </c>
    </row>
    <row r="17" spans="1:23" x14ac:dyDescent="0.25">
      <c r="A17" t="s">
        <v>149</v>
      </c>
      <c r="L17">
        <f t="shared" ref="L17" si="9">L16*1000</f>
        <v>0.5</v>
      </c>
      <c r="P17">
        <f t="shared" ref="P17:U17" si="10">P16*1000</f>
        <v>0.5</v>
      </c>
      <c r="Q17">
        <f t="shared" si="10"/>
        <v>0.5</v>
      </c>
      <c r="R17">
        <f t="shared" si="10"/>
        <v>0.36000000000000004</v>
      </c>
      <c r="S17">
        <f t="shared" si="10"/>
        <v>0.36000000000000004</v>
      </c>
      <c r="T17">
        <f t="shared" si="10"/>
        <v>0.36000000000000004</v>
      </c>
      <c r="U17">
        <f t="shared" si="10"/>
        <v>0.71</v>
      </c>
    </row>
    <row r="19" spans="1:23" x14ac:dyDescent="0.25">
      <c r="A19" t="s">
        <v>3</v>
      </c>
      <c r="L19">
        <v>4.4999999999999997E-3</v>
      </c>
      <c r="P19">
        <v>8.5000000000000006E-3</v>
      </c>
      <c r="Q19">
        <v>6.7000000000000002E-3</v>
      </c>
      <c r="R19">
        <v>6.1000000000000004E-3</v>
      </c>
      <c r="S19">
        <v>6.7000000000000002E-3</v>
      </c>
      <c r="T19">
        <v>7.0000000000000001E-3</v>
      </c>
      <c r="U19">
        <v>6.1999999999999998E-3</v>
      </c>
    </row>
    <row r="20" spans="1:23" x14ac:dyDescent="0.25">
      <c r="A20" t="s">
        <v>150</v>
      </c>
      <c r="L20">
        <f t="shared" ref="L20" si="11">L19*100</f>
        <v>0.44999999999999996</v>
      </c>
      <c r="P20">
        <f t="shared" ref="P20:U20" si="12">P19*100</f>
        <v>0.85000000000000009</v>
      </c>
      <c r="Q20">
        <f t="shared" si="12"/>
        <v>0.67</v>
      </c>
      <c r="R20">
        <f t="shared" si="12"/>
        <v>0.61</v>
      </c>
      <c r="S20">
        <f t="shared" si="12"/>
        <v>0.67</v>
      </c>
      <c r="T20">
        <f t="shared" si="12"/>
        <v>0.70000000000000007</v>
      </c>
      <c r="U20">
        <f t="shared" si="12"/>
        <v>0.62</v>
      </c>
    </row>
    <row r="22" spans="1:23" x14ac:dyDescent="0.25">
      <c r="A22" t="s">
        <v>225</v>
      </c>
      <c r="Q22">
        <v>5.92</v>
      </c>
      <c r="R22">
        <v>6.28</v>
      </c>
      <c r="S22">
        <v>6.89</v>
      </c>
      <c r="T22">
        <v>6.88</v>
      </c>
      <c r="U22">
        <v>7.52</v>
      </c>
      <c r="V22">
        <v>7.25</v>
      </c>
    </row>
    <row r="24" spans="1:23" x14ac:dyDescent="0.25">
      <c r="A24" t="s">
        <v>227</v>
      </c>
      <c r="B24">
        <v>0.60772999999999999</v>
      </c>
      <c r="C24">
        <v>0.85</v>
      </c>
      <c r="H24">
        <v>0.754</v>
      </c>
      <c r="J24">
        <v>0.86</v>
      </c>
      <c r="L24">
        <v>0.752</v>
      </c>
      <c r="M24">
        <v>1.03</v>
      </c>
      <c r="N24">
        <v>0.84</v>
      </c>
      <c r="P24">
        <v>0.81599999999999995</v>
      </c>
    </row>
    <row r="25" spans="1:23" x14ac:dyDescent="0.25">
      <c r="A25" t="s">
        <v>226</v>
      </c>
      <c r="B25">
        <f>B24*100</f>
        <v>60.772999999999996</v>
      </c>
      <c r="C25">
        <f>C24*100</f>
        <v>85</v>
      </c>
      <c r="H25">
        <f>H24*100</f>
        <v>75.400000000000006</v>
      </c>
      <c r="J25">
        <f>J24*100</f>
        <v>86</v>
      </c>
      <c r="L25">
        <f>L24*100</f>
        <v>75.2</v>
      </c>
      <c r="M25">
        <f>M24*100</f>
        <v>103</v>
      </c>
      <c r="N25">
        <f>N24*100</f>
        <v>84</v>
      </c>
      <c r="P25">
        <f>P24*100</f>
        <v>81.599999999999994</v>
      </c>
    </row>
    <row r="27" spans="1:23" x14ac:dyDescent="0.25">
      <c r="A27" t="s">
        <v>229</v>
      </c>
      <c r="C27" s="4">
        <f>C25/C6</f>
        <v>0.77981651376146777</v>
      </c>
      <c r="H27" s="4">
        <f>H25/H6</f>
        <v>0.95443037974683553</v>
      </c>
      <c r="J27" s="4">
        <f>J25/J6</f>
        <v>1.1183355006501949</v>
      </c>
      <c r="K27" s="4"/>
      <c r="L27" s="4">
        <f>L25/L6</f>
        <v>0.88783943329397874</v>
      </c>
      <c r="M27" s="4">
        <f>M25/M6</f>
        <v>1.0414560161779576</v>
      </c>
      <c r="N27" s="4">
        <f>N25/N6</f>
        <v>0.98475967174677614</v>
      </c>
      <c r="P27" s="4">
        <f>P25/P6</f>
        <v>0.89277899343544842</v>
      </c>
    </row>
    <row r="29" spans="1:23" x14ac:dyDescent="0.25">
      <c r="A29" t="s">
        <v>275</v>
      </c>
      <c r="P29">
        <v>8.5000000000000006E-3</v>
      </c>
    </row>
    <row r="31" spans="1:23" x14ac:dyDescent="0.25">
      <c r="A31" t="s">
        <v>4</v>
      </c>
      <c r="L31">
        <v>54</v>
      </c>
      <c r="N31">
        <v>82</v>
      </c>
      <c r="P31">
        <v>117</v>
      </c>
      <c r="Q31">
        <v>118</v>
      </c>
      <c r="R31">
        <v>97</v>
      </c>
      <c r="S31">
        <v>107</v>
      </c>
      <c r="T31">
        <v>198</v>
      </c>
      <c r="U31">
        <v>74</v>
      </c>
      <c r="V31">
        <v>166</v>
      </c>
      <c r="W31">
        <v>61</v>
      </c>
    </row>
    <row r="32" spans="1:23" x14ac:dyDescent="0.25">
      <c r="A32" t="s">
        <v>288</v>
      </c>
    </row>
    <row r="34" spans="1:23" x14ac:dyDescent="0.25">
      <c r="A34" t="s">
        <v>5</v>
      </c>
      <c r="L34">
        <v>78</v>
      </c>
      <c r="N34">
        <v>33</v>
      </c>
      <c r="P34">
        <v>69</v>
      </c>
      <c r="Q34">
        <v>93</v>
      </c>
      <c r="R34">
        <v>77</v>
      </c>
      <c r="S34">
        <v>31</v>
      </c>
      <c r="T34">
        <v>97</v>
      </c>
      <c r="U34">
        <v>69</v>
      </c>
      <c r="V34">
        <v>116</v>
      </c>
      <c r="W34">
        <v>19</v>
      </c>
    </row>
    <row r="35" spans="1:23" x14ac:dyDescent="0.25">
      <c r="A35" t="s">
        <v>289</v>
      </c>
    </row>
    <row r="37" spans="1:23" x14ac:dyDescent="0.25">
      <c r="A37" t="s">
        <v>6</v>
      </c>
      <c r="L37">
        <v>109</v>
      </c>
      <c r="N37">
        <v>157</v>
      </c>
      <c r="P37">
        <v>132</v>
      </c>
      <c r="Q37">
        <v>109</v>
      </c>
      <c r="R37">
        <v>244</v>
      </c>
      <c r="S37">
        <v>52</v>
      </c>
      <c r="T37">
        <v>178</v>
      </c>
      <c r="U37">
        <v>53</v>
      </c>
      <c r="V37">
        <v>115</v>
      </c>
      <c r="W37">
        <v>80</v>
      </c>
    </row>
    <row r="38" spans="1:23" x14ac:dyDescent="0.25">
      <c r="A38" t="s">
        <v>290</v>
      </c>
    </row>
    <row r="40" spans="1:23" x14ac:dyDescent="0.25">
      <c r="A40" t="s">
        <v>7</v>
      </c>
      <c r="L40">
        <v>2274</v>
      </c>
      <c r="N40">
        <v>3539</v>
      </c>
      <c r="P40">
        <v>3357</v>
      </c>
      <c r="Q40">
        <v>2414</v>
      </c>
      <c r="R40">
        <v>4849</v>
      </c>
      <c r="S40">
        <v>2269</v>
      </c>
      <c r="T40">
        <v>3612</v>
      </c>
      <c r="U40">
        <v>3956</v>
      </c>
      <c r="V40">
        <v>4432</v>
      </c>
      <c r="W40">
        <v>3087</v>
      </c>
    </row>
    <row r="41" spans="1:23" x14ac:dyDescent="0.25">
      <c r="A41" t="s">
        <v>291</v>
      </c>
    </row>
    <row r="43" spans="1:23" x14ac:dyDescent="0.25">
      <c r="A43" t="s">
        <v>8</v>
      </c>
      <c r="L43">
        <v>119</v>
      </c>
      <c r="N43">
        <v>25</v>
      </c>
      <c r="P43">
        <v>33</v>
      </c>
      <c r="Q43">
        <v>47</v>
      </c>
      <c r="R43">
        <v>113</v>
      </c>
      <c r="S43">
        <v>102</v>
      </c>
      <c r="T43">
        <v>234</v>
      </c>
      <c r="U43">
        <v>63</v>
      </c>
      <c r="V43">
        <v>25</v>
      </c>
      <c r="W43">
        <v>37</v>
      </c>
    </row>
    <row r="44" spans="1:23" x14ac:dyDescent="0.25">
      <c r="A44" t="s">
        <v>292</v>
      </c>
    </row>
    <row r="46" spans="1:23" x14ac:dyDescent="0.25">
      <c r="A46" t="s">
        <v>9</v>
      </c>
      <c r="L46">
        <v>59</v>
      </c>
      <c r="N46">
        <v>65</v>
      </c>
      <c r="P46">
        <v>68</v>
      </c>
      <c r="Q46">
        <v>50</v>
      </c>
      <c r="R46">
        <v>146</v>
      </c>
      <c r="S46">
        <v>47</v>
      </c>
      <c r="T46">
        <v>54</v>
      </c>
      <c r="U46">
        <v>49</v>
      </c>
      <c r="V46">
        <v>50</v>
      </c>
      <c r="W46">
        <v>54</v>
      </c>
    </row>
    <row r="47" spans="1:23" x14ac:dyDescent="0.25">
      <c r="A47" t="s">
        <v>293</v>
      </c>
    </row>
    <row r="49" spans="1:23" x14ac:dyDescent="0.25">
      <c r="A49" t="s">
        <v>10</v>
      </c>
      <c r="L49">
        <v>710</v>
      </c>
      <c r="N49">
        <v>676</v>
      </c>
      <c r="P49">
        <v>833</v>
      </c>
      <c r="Q49">
        <v>439</v>
      </c>
      <c r="R49">
        <v>973</v>
      </c>
      <c r="S49">
        <v>499</v>
      </c>
      <c r="T49">
        <v>570</v>
      </c>
      <c r="U49">
        <v>318</v>
      </c>
      <c r="V49">
        <v>384</v>
      </c>
      <c r="W49">
        <v>316</v>
      </c>
    </row>
    <row r="50" spans="1:23" x14ac:dyDescent="0.25">
      <c r="A50" t="s">
        <v>294</v>
      </c>
    </row>
    <row r="52" spans="1:23" x14ac:dyDescent="0.25">
      <c r="A52" t="s">
        <v>11</v>
      </c>
      <c r="L52">
        <v>14</v>
      </c>
      <c r="N52">
        <v>36</v>
      </c>
      <c r="P52">
        <v>31</v>
      </c>
      <c r="Q52">
        <v>30</v>
      </c>
      <c r="R52">
        <v>43</v>
      </c>
      <c r="S52">
        <v>11</v>
      </c>
      <c r="T52">
        <v>45</v>
      </c>
      <c r="U52">
        <v>12</v>
      </c>
      <c r="V52">
        <v>22</v>
      </c>
      <c r="W52">
        <v>12</v>
      </c>
    </row>
    <row r="53" spans="1:23" x14ac:dyDescent="0.25">
      <c r="A53" t="s">
        <v>295</v>
      </c>
    </row>
    <row r="55" spans="1:23" x14ac:dyDescent="0.25">
      <c r="A55" t="s">
        <v>12</v>
      </c>
      <c r="L55">
        <v>8</v>
      </c>
      <c r="N55">
        <v>32</v>
      </c>
      <c r="P55">
        <v>38</v>
      </c>
      <c r="Q55">
        <v>12</v>
      </c>
      <c r="R55">
        <v>42</v>
      </c>
      <c r="S55">
        <v>10</v>
      </c>
      <c r="T55">
        <v>38</v>
      </c>
      <c r="U55">
        <v>13</v>
      </c>
      <c r="V55">
        <v>6</v>
      </c>
      <c r="W55">
        <v>9</v>
      </c>
    </row>
    <row r="56" spans="1:23" x14ac:dyDescent="0.25">
      <c r="A56" t="s">
        <v>298</v>
      </c>
    </row>
    <row r="58" spans="1:23" x14ac:dyDescent="0.25">
      <c r="A58" t="s">
        <v>13</v>
      </c>
      <c r="L58">
        <v>21</v>
      </c>
      <c r="N58">
        <v>81</v>
      </c>
      <c r="P58">
        <v>26</v>
      </c>
      <c r="Q58">
        <v>15</v>
      </c>
      <c r="R58">
        <v>32</v>
      </c>
      <c r="S58">
        <v>17</v>
      </c>
      <c r="T58">
        <v>32</v>
      </c>
      <c r="U58">
        <v>21</v>
      </c>
      <c r="V58">
        <v>34</v>
      </c>
      <c r="W58">
        <v>73</v>
      </c>
    </row>
    <row r="60" spans="1:23" x14ac:dyDescent="0.25">
      <c r="A60" t="s">
        <v>14</v>
      </c>
      <c r="L60">
        <v>1748</v>
      </c>
      <c r="N60">
        <v>2531</v>
      </c>
      <c r="P60">
        <v>1743</v>
      </c>
      <c r="Q60">
        <v>1879</v>
      </c>
      <c r="R60">
        <v>3984</v>
      </c>
      <c r="S60">
        <v>1063</v>
      </c>
      <c r="T60">
        <v>2476</v>
      </c>
      <c r="U60">
        <v>934</v>
      </c>
      <c r="V60">
        <v>1294</v>
      </c>
      <c r="W60">
        <v>2224</v>
      </c>
    </row>
    <row r="61" spans="1:23" x14ac:dyDescent="0.25">
      <c r="A61" t="s">
        <v>297</v>
      </c>
    </row>
    <row r="63" spans="1:23" x14ac:dyDescent="0.25">
      <c r="A63" t="s">
        <v>15</v>
      </c>
      <c r="L63">
        <v>7</v>
      </c>
      <c r="N63">
        <v>14</v>
      </c>
      <c r="P63">
        <v>20</v>
      </c>
      <c r="Q63">
        <v>9</v>
      </c>
      <c r="R63">
        <v>25</v>
      </c>
      <c r="S63">
        <v>1</v>
      </c>
      <c r="T63">
        <v>6</v>
      </c>
      <c r="U63">
        <v>2</v>
      </c>
      <c r="V63">
        <v>5</v>
      </c>
      <c r="W63">
        <v>3</v>
      </c>
    </row>
    <row r="64" spans="1:23" x14ac:dyDescent="0.25">
      <c r="A64" t="s">
        <v>296</v>
      </c>
    </row>
    <row r="66" spans="1:38" x14ac:dyDescent="0.25">
      <c r="A66" t="s">
        <v>16</v>
      </c>
      <c r="L66">
        <v>73</v>
      </c>
      <c r="N66">
        <v>92</v>
      </c>
      <c r="P66">
        <v>78</v>
      </c>
      <c r="Q66">
        <v>68</v>
      </c>
      <c r="R66">
        <v>79</v>
      </c>
      <c r="S66">
        <v>49</v>
      </c>
      <c r="T66">
        <v>91</v>
      </c>
      <c r="U66">
        <v>94</v>
      </c>
      <c r="V66">
        <v>68</v>
      </c>
      <c r="W66">
        <v>77</v>
      </c>
    </row>
    <row r="68" spans="1:38" x14ac:dyDescent="0.25">
      <c r="A68" t="s">
        <v>17</v>
      </c>
      <c r="N68">
        <v>2.1000000000000001E-2</v>
      </c>
      <c r="P68">
        <v>2.4E-2</v>
      </c>
      <c r="Q68">
        <v>2.1000000000000001E-2</v>
      </c>
      <c r="R68">
        <v>2.5999999999999999E-2</v>
      </c>
      <c r="S68">
        <v>2E-3</v>
      </c>
      <c r="T68">
        <v>1.0999999999999999E-2</v>
      </c>
      <c r="U68">
        <v>6.0000000000000001E-3</v>
      </c>
      <c r="V68">
        <v>1.2999999999999999E-2</v>
      </c>
      <c r="W68">
        <v>8.9999999999999993E-3</v>
      </c>
    </row>
    <row r="70" spans="1:38" x14ac:dyDescent="0.25">
      <c r="A70" t="s">
        <v>135</v>
      </c>
      <c r="C70" s="4"/>
      <c r="H70" s="4"/>
      <c r="J70" s="4"/>
      <c r="K70" s="4"/>
      <c r="L70" s="4">
        <f t="shared" ref="L70" si="13">L49/L34</f>
        <v>9.1025641025641022</v>
      </c>
      <c r="M70" s="4"/>
      <c r="N70" s="4">
        <f t="shared" ref="N70" si="14">N49/N34</f>
        <v>20.484848484848484</v>
      </c>
      <c r="O70" s="4"/>
      <c r="P70" s="4">
        <f t="shared" ref="P70:U70" si="15">P49/P34</f>
        <v>12.072463768115941</v>
      </c>
      <c r="Q70" s="4">
        <f t="shared" si="15"/>
        <v>4.720430107526882</v>
      </c>
      <c r="R70" s="4">
        <f t="shared" si="15"/>
        <v>12.636363636363637</v>
      </c>
      <c r="S70" s="4">
        <f t="shared" si="15"/>
        <v>16.096774193548388</v>
      </c>
      <c r="T70" s="4">
        <f t="shared" si="15"/>
        <v>5.8762886597938149</v>
      </c>
      <c r="U70" s="4">
        <f t="shared" si="15"/>
        <v>4.6086956521739131</v>
      </c>
      <c r="AL70" s="4"/>
    </row>
    <row r="71" spans="1:38" x14ac:dyDescent="0.25">
      <c r="C71" s="4"/>
      <c r="H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AL71" s="4"/>
    </row>
    <row r="72" spans="1:38" x14ac:dyDescent="0.25">
      <c r="A72" t="s">
        <v>160</v>
      </c>
      <c r="C72" s="5"/>
      <c r="H72" s="5"/>
      <c r="J72" s="5"/>
      <c r="K72" s="5"/>
      <c r="L72" s="5">
        <f>(L31+L34+L37)/SUM(L31:L66)</f>
        <v>4.5695866514979144E-2</v>
      </c>
      <c r="M72" s="5"/>
      <c r="N72" s="5">
        <f>(N31+N34+N37)/SUM(N31:N66)</f>
        <v>3.6941464077142466E-2</v>
      </c>
      <c r="O72" s="5"/>
      <c r="P72" s="5">
        <f t="shared" ref="P72:W72" si="16">(P31+P34+P37)/SUM(P31:P66)</f>
        <v>4.8586707410236823E-2</v>
      </c>
      <c r="Q72" s="5">
        <f t="shared" si="16"/>
        <v>6.0571644898731784E-2</v>
      </c>
      <c r="R72" s="5">
        <f t="shared" si="16"/>
        <v>3.9050822122571001E-2</v>
      </c>
      <c r="S72" s="5">
        <f t="shared" si="16"/>
        <v>4.4621888210427431E-2</v>
      </c>
      <c r="T72" s="5">
        <f t="shared" si="16"/>
        <v>6.1984012580264709E-2</v>
      </c>
      <c r="U72" s="5">
        <f t="shared" si="16"/>
        <v>3.4641215977377168E-2</v>
      </c>
      <c r="V72" s="5">
        <f t="shared" si="16"/>
        <v>5.9103766562453475E-2</v>
      </c>
      <c r="W72" s="5">
        <f t="shared" si="16"/>
        <v>2.6437541308658295E-2</v>
      </c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</row>
    <row r="74" spans="1:38" x14ac:dyDescent="0.25">
      <c r="A74" t="s">
        <v>219</v>
      </c>
      <c r="C74">
        <v>11.7</v>
      </c>
      <c r="L74">
        <v>12.6</v>
      </c>
      <c r="M74">
        <v>11.9</v>
      </c>
      <c r="P74">
        <v>8.02</v>
      </c>
      <c r="Q74">
        <v>10.44</v>
      </c>
      <c r="R74">
        <v>7.58</v>
      </c>
    </row>
    <row r="76" spans="1:38" x14ac:dyDescent="0.25">
      <c r="A76" t="s">
        <v>18</v>
      </c>
      <c r="B76">
        <v>39.200000000000003</v>
      </c>
      <c r="C76">
        <v>38.6</v>
      </c>
      <c r="D76">
        <v>38.200000000000003</v>
      </c>
      <c r="E76">
        <v>38.5</v>
      </c>
      <c r="F76">
        <v>35.5</v>
      </c>
      <c r="G76">
        <v>36</v>
      </c>
      <c r="H76">
        <v>35.700000000000003</v>
      </c>
      <c r="I76">
        <v>36.299999999999997</v>
      </c>
      <c r="J76">
        <v>36.1</v>
      </c>
      <c r="K76">
        <v>37.5</v>
      </c>
      <c r="L76">
        <v>35.4</v>
      </c>
      <c r="M76">
        <v>36.4</v>
      </c>
      <c r="N76">
        <v>37.5</v>
      </c>
      <c r="O76">
        <v>36.9</v>
      </c>
      <c r="P76">
        <v>38.1</v>
      </c>
      <c r="Q76">
        <v>40.200000000000003</v>
      </c>
      <c r="R76">
        <v>40.6</v>
      </c>
      <c r="S76">
        <v>42.8</v>
      </c>
      <c r="T76">
        <v>42.3</v>
      </c>
      <c r="U76">
        <v>40.5</v>
      </c>
      <c r="V76">
        <v>41.7</v>
      </c>
      <c r="W76">
        <v>41.6</v>
      </c>
      <c r="AD76">
        <v>40.4</v>
      </c>
      <c r="AE76">
        <v>42.3</v>
      </c>
      <c r="AF76">
        <v>42.1</v>
      </c>
      <c r="AG76">
        <v>42.7</v>
      </c>
    </row>
    <row r="77" spans="1:38" x14ac:dyDescent="0.25">
      <c r="A77" t="s">
        <v>115</v>
      </c>
      <c r="C77">
        <f t="shared" ref="C77" si="17">C76</f>
        <v>38.6</v>
      </c>
      <c r="H77">
        <f t="shared" ref="H77:J77" si="18">H76</f>
        <v>35.700000000000003</v>
      </c>
      <c r="J77">
        <f t="shared" si="18"/>
        <v>36.1</v>
      </c>
      <c r="K77">
        <f t="shared" ref="K77:L77" si="19">K76</f>
        <v>37.5</v>
      </c>
      <c r="L77">
        <f t="shared" si="19"/>
        <v>35.4</v>
      </c>
      <c r="M77">
        <f t="shared" ref="M77:N77" si="20">M76</f>
        <v>36.4</v>
      </c>
      <c r="N77">
        <f t="shared" si="20"/>
        <v>37.5</v>
      </c>
      <c r="O77">
        <f>O76</f>
        <v>36.9</v>
      </c>
      <c r="P77">
        <f t="shared" ref="P77:U77" si="21">P76</f>
        <v>38.1</v>
      </c>
      <c r="Q77">
        <f t="shared" si="21"/>
        <v>40.200000000000003</v>
      </c>
      <c r="R77">
        <f t="shared" si="21"/>
        <v>40.6</v>
      </c>
      <c r="S77">
        <f t="shared" si="21"/>
        <v>42.8</v>
      </c>
      <c r="T77">
        <f t="shared" si="21"/>
        <v>42.3</v>
      </c>
      <c r="U77">
        <f t="shared" si="21"/>
        <v>40.5</v>
      </c>
      <c r="V77">
        <f t="shared" ref="V77:W77" si="22">V76</f>
        <v>41.7</v>
      </c>
      <c r="W77">
        <f t="shared" si="22"/>
        <v>41.6</v>
      </c>
    </row>
    <row r="78" spans="1:38" x14ac:dyDescent="0.25">
      <c r="A78" t="s">
        <v>121</v>
      </c>
    </row>
    <row r="80" spans="1:38" x14ac:dyDescent="0.25">
      <c r="A80" t="s">
        <v>19</v>
      </c>
      <c r="B80">
        <v>13.6</v>
      </c>
      <c r="C80">
        <v>13.5</v>
      </c>
      <c r="D80">
        <v>13.3</v>
      </c>
      <c r="E80">
        <v>12.8</v>
      </c>
      <c r="F80">
        <v>13</v>
      </c>
      <c r="G80">
        <v>12.7</v>
      </c>
      <c r="H80">
        <v>12.7</v>
      </c>
      <c r="I80">
        <v>13</v>
      </c>
      <c r="J80">
        <v>13</v>
      </c>
      <c r="K80">
        <v>13.4</v>
      </c>
      <c r="L80">
        <v>13.1</v>
      </c>
      <c r="M80">
        <v>13.2</v>
      </c>
      <c r="N80">
        <v>13.1</v>
      </c>
      <c r="O80">
        <v>12.9</v>
      </c>
      <c r="P80">
        <v>13.4</v>
      </c>
      <c r="Q80">
        <v>13.8</v>
      </c>
      <c r="R80">
        <v>14.3</v>
      </c>
      <c r="S80">
        <v>15.6</v>
      </c>
      <c r="T80">
        <v>15.1</v>
      </c>
      <c r="U80">
        <v>15.1</v>
      </c>
      <c r="V80">
        <v>14.9</v>
      </c>
      <c r="W80">
        <v>14.8</v>
      </c>
      <c r="AD80">
        <v>14.2</v>
      </c>
      <c r="AE80">
        <v>14.8</v>
      </c>
      <c r="AF80">
        <v>13.9</v>
      </c>
      <c r="AG80">
        <v>14.2</v>
      </c>
    </row>
    <row r="81" spans="1:33" x14ac:dyDescent="0.25">
      <c r="A81" t="s">
        <v>108</v>
      </c>
      <c r="C81">
        <f t="shared" ref="C81" si="23">C80</f>
        <v>13.5</v>
      </c>
      <c r="H81">
        <f t="shared" ref="H81:J81" si="24">H80</f>
        <v>12.7</v>
      </c>
      <c r="J81">
        <f t="shared" si="24"/>
        <v>13</v>
      </c>
      <c r="K81">
        <f t="shared" ref="K81:L81" si="25">K80</f>
        <v>13.4</v>
      </c>
      <c r="L81">
        <f t="shared" si="25"/>
        <v>13.1</v>
      </c>
      <c r="M81">
        <f t="shared" ref="M81:N81" si="26">M80</f>
        <v>13.2</v>
      </c>
      <c r="N81">
        <f t="shared" si="26"/>
        <v>13.1</v>
      </c>
      <c r="O81">
        <f>O80</f>
        <v>12.9</v>
      </c>
      <c r="P81">
        <f t="shared" ref="P81:U81" si="27">P80</f>
        <v>13.4</v>
      </c>
      <c r="Q81">
        <f t="shared" si="27"/>
        <v>13.8</v>
      </c>
      <c r="R81">
        <f t="shared" si="27"/>
        <v>14.3</v>
      </c>
      <c r="S81">
        <f t="shared" si="27"/>
        <v>15.6</v>
      </c>
      <c r="T81">
        <f t="shared" si="27"/>
        <v>15.1</v>
      </c>
      <c r="U81">
        <f t="shared" si="27"/>
        <v>15.1</v>
      </c>
      <c r="V81">
        <f t="shared" ref="V81:W81" si="28">V80</f>
        <v>14.9</v>
      </c>
      <c r="W81">
        <f t="shared" si="28"/>
        <v>14.8</v>
      </c>
    </row>
    <row r="83" spans="1:33" x14ac:dyDescent="0.25">
      <c r="A83" t="s">
        <v>20</v>
      </c>
      <c r="B83">
        <v>4.1100000000000003</v>
      </c>
      <c r="C83">
        <v>4.2</v>
      </c>
      <c r="D83">
        <v>4.2699999999999996</v>
      </c>
      <c r="E83">
        <v>4.01</v>
      </c>
      <c r="F83">
        <v>3.85</v>
      </c>
      <c r="G83">
        <v>3.77</v>
      </c>
      <c r="H83">
        <v>3.83</v>
      </c>
      <c r="I83">
        <v>3.86</v>
      </c>
      <c r="J83">
        <v>3.91</v>
      </c>
      <c r="K83">
        <v>4.05</v>
      </c>
      <c r="L83">
        <v>3.84</v>
      </c>
      <c r="M83">
        <v>4.03</v>
      </c>
      <c r="N83">
        <v>4.2699999999999996</v>
      </c>
      <c r="O83">
        <v>4.29</v>
      </c>
      <c r="P83">
        <v>4.33</v>
      </c>
      <c r="Q83">
        <v>4.42</v>
      </c>
      <c r="R83">
        <v>4.55</v>
      </c>
      <c r="S83">
        <v>4.8899999999999997</v>
      </c>
      <c r="T83">
        <v>4.78</v>
      </c>
      <c r="U83">
        <v>4.6500000000000004</v>
      </c>
      <c r="V83">
        <v>4.75</v>
      </c>
      <c r="W83">
        <v>4.88</v>
      </c>
      <c r="AD83">
        <v>4.4800000000000004</v>
      </c>
      <c r="AE83">
        <v>4.63</v>
      </c>
      <c r="AF83">
        <v>4.71</v>
      </c>
      <c r="AG83">
        <v>4.63</v>
      </c>
    </row>
    <row r="84" spans="1:33" x14ac:dyDescent="0.25">
      <c r="A84" t="s">
        <v>114</v>
      </c>
      <c r="C84">
        <f t="shared" ref="C84" si="29">C83</f>
        <v>4.2</v>
      </c>
      <c r="H84">
        <f t="shared" ref="H84:J84" si="30">H83</f>
        <v>3.83</v>
      </c>
      <c r="J84">
        <f t="shared" si="30"/>
        <v>3.91</v>
      </c>
      <c r="K84">
        <f t="shared" ref="K84:L84" si="31">K83</f>
        <v>4.05</v>
      </c>
      <c r="L84">
        <f t="shared" si="31"/>
        <v>3.84</v>
      </c>
      <c r="M84">
        <f t="shared" ref="M84:N84" si="32">M83</f>
        <v>4.03</v>
      </c>
      <c r="N84">
        <f t="shared" si="32"/>
        <v>4.2699999999999996</v>
      </c>
      <c r="O84">
        <f>O83</f>
        <v>4.29</v>
      </c>
      <c r="P84">
        <f t="shared" ref="P84:U84" si="33">P83</f>
        <v>4.33</v>
      </c>
      <c r="Q84">
        <f t="shared" si="33"/>
        <v>4.42</v>
      </c>
      <c r="R84">
        <f t="shared" si="33"/>
        <v>4.55</v>
      </c>
      <c r="S84">
        <f t="shared" si="33"/>
        <v>4.8899999999999997</v>
      </c>
      <c r="T84">
        <f t="shared" si="33"/>
        <v>4.78</v>
      </c>
      <c r="U84">
        <f t="shared" si="33"/>
        <v>4.6500000000000004</v>
      </c>
      <c r="V84">
        <f t="shared" ref="V84:W84" si="34">V83</f>
        <v>4.75</v>
      </c>
      <c r="W84">
        <f t="shared" si="34"/>
        <v>4.88</v>
      </c>
    </row>
    <row r="85" spans="1:33" x14ac:dyDescent="0.25">
      <c r="A85" t="s">
        <v>121</v>
      </c>
    </row>
    <row r="87" spans="1:33" x14ac:dyDescent="0.25">
      <c r="A87" t="s">
        <v>21</v>
      </c>
      <c r="B87">
        <v>95.3</v>
      </c>
      <c r="C87">
        <v>92</v>
      </c>
      <c r="D87">
        <v>89.4</v>
      </c>
      <c r="E87">
        <v>95.9</v>
      </c>
      <c r="F87">
        <v>92.2</v>
      </c>
      <c r="G87">
        <v>95.6</v>
      </c>
      <c r="H87">
        <v>93.3</v>
      </c>
      <c r="I87">
        <v>94</v>
      </c>
      <c r="J87">
        <v>92.3</v>
      </c>
      <c r="K87">
        <v>92.7</v>
      </c>
      <c r="L87">
        <v>92.3</v>
      </c>
      <c r="M87">
        <v>90.3</v>
      </c>
      <c r="N87">
        <v>87.8</v>
      </c>
      <c r="O87">
        <v>85.9</v>
      </c>
      <c r="P87">
        <v>88</v>
      </c>
      <c r="Q87">
        <v>91</v>
      </c>
      <c r="R87">
        <v>89.2</v>
      </c>
      <c r="S87">
        <v>87.5</v>
      </c>
      <c r="T87">
        <v>88.5</v>
      </c>
      <c r="U87">
        <v>87.1</v>
      </c>
      <c r="V87">
        <v>87.8</v>
      </c>
      <c r="W87">
        <v>85.2</v>
      </c>
      <c r="AD87">
        <v>90.1</v>
      </c>
      <c r="AE87">
        <v>91.4</v>
      </c>
    </row>
    <row r="88" spans="1:33" x14ac:dyDescent="0.25">
      <c r="A88" t="s">
        <v>113</v>
      </c>
      <c r="C88">
        <f t="shared" ref="C88" si="35">C87</f>
        <v>92</v>
      </c>
      <c r="H88">
        <f t="shared" ref="H88:J88" si="36">H87</f>
        <v>93.3</v>
      </c>
      <c r="J88">
        <f t="shared" si="36"/>
        <v>92.3</v>
      </c>
      <c r="K88">
        <f t="shared" ref="K88:L88" si="37">K87</f>
        <v>92.7</v>
      </c>
      <c r="L88">
        <f t="shared" si="37"/>
        <v>92.3</v>
      </c>
      <c r="M88">
        <f t="shared" ref="M88:N88" si="38">M87</f>
        <v>90.3</v>
      </c>
      <c r="N88">
        <f t="shared" si="38"/>
        <v>87.8</v>
      </c>
      <c r="O88">
        <f>O87</f>
        <v>85.9</v>
      </c>
      <c r="P88">
        <f t="shared" ref="P88:U88" si="39">P87</f>
        <v>88</v>
      </c>
      <c r="Q88">
        <f t="shared" si="39"/>
        <v>91</v>
      </c>
      <c r="R88">
        <f t="shared" si="39"/>
        <v>89.2</v>
      </c>
      <c r="S88">
        <f t="shared" si="39"/>
        <v>87.5</v>
      </c>
      <c r="T88">
        <f t="shared" si="39"/>
        <v>88.5</v>
      </c>
      <c r="U88">
        <f t="shared" si="39"/>
        <v>87.1</v>
      </c>
      <c r="V88">
        <f t="shared" ref="V88:W88" si="40">V87</f>
        <v>87.8</v>
      </c>
      <c r="W88">
        <f t="shared" si="40"/>
        <v>85.2</v>
      </c>
    </row>
    <row r="89" spans="1:33" x14ac:dyDescent="0.25">
      <c r="A89" t="s">
        <v>205</v>
      </c>
    </row>
    <row r="91" spans="1:33" x14ac:dyDescent="0.25">
      <c r="A91" t="s">
        <v>22</v>
      </c>
      <c r="B91">
        <v>12.2</v>
      </c>
      <c r="C91">
        <v>12.2</v>
      </c>
      <c r="D91">
        <v>11.9</v>
      </c>
      <c r="E91">
        <v>11.7</v>
      </c>
      <c r="F91">
        <v>11.7</v>
      </c>
      <c r="G91">
        <v>12.1</v>
      </c>
      <c r="H91">
        <v>11.9</v>
      </c>
      <c r="I91">
        <v>12.2</v>
      </c>
      <c r="J91">
        <v>11.8</v>
      </c>
      <c r="K91">
        <v>12</v>
      </c>
      <c r="L91">
        <v>12.1</v>
      </c>
      <c r="M91">
        <v>12.5</v>
      </c>
      <c r="N91">
        <v>13.7</v>
      </c>
      <c r="O91">
        <v>12.7</v>
      </c>
      <c r="P91">
        <v>13.7</v>
      </c>
      <c r="Q91">
        <v>12.4</v>
      </c>
      <c r="R91">
        <v>12.2</v>
      </c>
      <c r="S91">
        <v>12.3</v>
      </c>
      <c r="T91">
        <v>12.8</v>
      </c>
      <c r="U91">
        <v>12.7</v>
      </c>
      <c r="V91">
        <v>12.8</v>
      </c>
      <c r="W91">
        <v>12.5</v>
      </c>
      <c r="AD91">
        <v>12</v>
      </c>
      <c r="AE91">
        <v>11.9</v>
      </c>
    </row>
    <row r="92" spans="1:33" x14ac:dyDescent="0.25">
      <c r="A92" t="s">
        <v>112</v>
      </c>
      <c r="C92">
        <f t="shared" ref="C92" si="41">C91</f>
        <v>12.2</v>
      </c>
      <c r="H92">
        <f t="shared" ref="H92:J92" si="42">H91</f>
        <v>11.9</v>
      </c>
      <c r="J92">
        <f t="shared" si="42"/>
        <v>11.8</v>
      </c>
      <c r="K92">
        <f t="shared" ref="K92:L92" si="43">K91</f>
        <v>12</v>
      </c>
      <c r="L92">
        <f t="shared" si="43"/>
        <v>12.1</v>
      </c>
      <c r="M92">
        <f t="shared" ref="M92:N92" si="44">M91</f>
        <v>12.5</v>
      </c>
      <c r="N92">
        <f t="shared" si="44"/>
        <v>13.7</v>
      </c>
      <c r="O92">
        <f>O91</f>
        <v>12.7</v>
      </c>
      <c r="P92">
        <f t="shared" ref="P92:U92" si="45">P91</f>
        <v>13.7</v>
      </c>
      <c r="Q92">
        <f t="shared" si="45"/>
        <v>12.4</v>
      </c>
      <c r="R92">
        <f t="shared" si="45"/>
        <v>12.2</v>
      </c>
      <c r="S92">
        <f t="shared" si="45"/>
        <v>12.3</v>
      </c>
      <c r="T92">
        <f t="shared" si="45"/>
        <v>12.8</v>
      </c>
      <c r="U92">
        <f t="shared" si="45"/>
        <v>12.7</v>
      </c>
      <c r="V92">
        <f t="shared" ref="V92:W92" si="46">V91</f>
        <v>12.8</v>
      </c>
      <c r="W92">
        <f t="shared" si="46"/>
        <v>12.5</v>
      </c>
    </row>
    <row r="93" spans="1:33" x14ac:dyDescent="0.25">
      <c r="A93" t="s">
        <v>161</v>
      </c>
    </row>
    <row r="94" spans="1:33" x14ac:dyDescent="0.25">
      <c r="A94" t="s">
        <v>205</v>
      </c>
    </row>
    <row r="95" spans="1:33" x14ac:dyDescent="0.25">
      <c r="A95" t="s">
        <v>230</v>
      </c>
    </row>
    <row r="97" spans="1:33" x14ac:dyDescent="0.25">
      <c r="A97" t="s">
        <v>23</v>
      </c>
      <c r="B97">
        <v>33</v>
      </c>
      <c r="C97">
        <v>32</v>
      </c>
      <c r="D97">
        <v>31.2</v>
      </c>
      <c r="E97">
        <v>31.8</v>
      </c>
      <c r="F97">
        <v>33.799999999999997</v>
      </c>
      <c r="G97">
        <v>33.6</v>
      </c>
      <c r="H97">
        <v>33.1</v>
      </c>
      <c r="I97">
        <v>33.799999999999997</v>
      </c>
      <c r="J97">
        <v>33.299999999999997</v>
      </c>
      <c r="K97">
        <v>33.200000000000003</v>
      </c>
      <c r="L97">
        <v>34.200000000000003</v>
      </c>
      <c r="M97">
        <v>32.700000000000003</v>
      </c>
      <c r="N97">
        <v>30.6</v>
      </c>
      <c r="O97">
        <v>30.1</v>
      </c>
      <c r="P97">
        <v>31</v>
      </c>
      <c r="Q97">
        <v>31.2</v>
      </c>
      <c r="R97">
        <v>31.4</v>
      </c>
      <c r="S97">
        <v>31.9</v>
      </c>
      <c r="T97">
        <v>31.6</v>
      </c>
      <c r="U97">
        <v>32.5</v>
      </c>
      <c r="V97">
        <v>31.4</v>
      </c>
      <c r="W97">
        <v>30.3</v>
      </c>
      <c r="AD97">
        <v>31.6</v>
      </c>
      <c r="AE97">
        <v>32</v>
      </c>
    </row>
    <row r="98" spans="1:33" x14ac:dyDescent="0.25">
      <c r="A98" t="s">
        <v>111</v>
      </c>
      <c r="C98">
        <f t="shared" ref="C98" si="47">C97</f>
        <v>32</v>
      </c>
      <c r="H98">
        <f t="shared" ref="H98:J98" si="48">H97</f>
        <v>33.1</v>
      </c>
      <c r="J98">
        <f t="shared" si="48"/>
        <v>33.299999999999997</v>
      </c>
      <c r="K98">
        <f t="shared" ref="K98:L98" si="49">K97</f>
        <v>33.200000000000003</v>
      </c>
      <c r="L98">
        <f t="shared" si="49"/>
        <v>34.200000000000003</v>
      </c>
      <c r="M98">
        <f t="shared" ref="M98:N98" si="50">M97</f>
        <v>32.700000000000003</v>
      </c>
      <c r="N98">
        <f t="shared" si="50"/>
        <v>30.6</v>
      </c>
      <c r="O98">
        <f>O97</f>
        <v>30.1</v>
      </c>
      <c r="P98">
        <f t="shared" ref="P98:U98" si="51">P97</f>
        <v>31</v>
      </c>
      <c r="Q98">
        <f t="shared" si="51"/>
        <v>31.2</v>
      </c>
      <c r="R98">
        <f t="shared" si="51"/>
        <v>31.4</v>
      </c>
      <c r="S98">
        <f t="shared" si="51"/>
        <v>31.9</v>
      </c>
      <c r="T98">
        <f t="shared" si="51"/>
        <v>31.6</v>
      </c>
      <c r="U98">
        <f t="shared" si="51"/>
        <v>32.5</v>
      </c>
      <c r="V98">
        <f t="shared" ref="V98:W98" si="52">V97</f>
        <v>31.4</v>
      </c>
      <c r="W98">
        <f t="shared" si="52"/>
        <v>30.3</v>
      </c>
    </row>
    <row r="99" spans="1:33" x14ac:dyDescent="0.25">
      <c r="A99" t="s">
        <v>120</v>
      </c>
    </row>
    <row r="101" spans="1:33" x14ac:dyDescent="0.25">
      <c r="A101" t="s">
        <v>24</v>
      </c>
      <c r="B101">
        <v>34.700000000000003</v>
      </c>
      <c r="C101">
        <v>35</v>
      </c>
      <c r="D101">
        <v>34.799999999999997</v>
      </c>
      <c r="E101">
        <v>33.200000000000003</v>
      </c>
      <c r="F101">
        <v>36.6</v>
      </c>
      <c r="G101">
        <v>35.299999999999997</v>
      </c>
      <c r="H101">
        <v>35.6</v>
      </c>
      <c r="I101">
        <v>35.799999999999997</v>
      </c>
      <c r="J101">
        <v>36</v>
      </c>
      <c r="K101">
        <v>35.700000000000003</v>
      </c>
      <c r="L101">
        <v>37</v>
      </c>
      <c r="M101">
        <v>36.299999999999997</v>
      </c>
      <c r="N101">
        <v>34.9</v>
      </c>
      <c r="O101">
        <v>35</v>
      </c>
      <c r="P101">
        <v>35.200000000000003</v>
      </c>
      <c r="Q101">
        <v>34.299999999999997</v>
      </c>
      <c r="R101">
        <v>35.200000000000003</v>
      </c>
      <c r="S101">
        <v>36.4</v>
      </c>
      <c r="T101">
        <v>35.700000000000003</v>
      </c>
      <c r="U101">
        <v>37.299999999999997</v>
      </c>
      <c r="V101">
        <v>35.700000000000003</v>
      </c>
      <c r="W101">
        <v>35.6</v>
      </c>
      <c r="AD101">
        <v>35.1</v>
      </c>
      <c r="AE101">
        <v>35</v>
      </c>
    </row>
    <row r="102" spans="1:33" x14ac:dyDescent="0.25">
      <c r="A102" t="s">
        <v>110</v>
      </c>
      <c r="C102">
        <f t="shared" ref="C102" si="53">C101</f>
        <v>35</v>
      </c>
      <c r="H102">
        <f t="shared" ref="H102:J102" si="54">H101</f>
        <v>35.6</v>
      </c>
      <c r="J102">
        <f t="shared" si="54"/>
        <v>36</v>
      </c>
      <c r="K102">
        <f t="shared" ref="K102:L102" si="55">K101</f>
        <v>35.700000000000003</v>
      </c>
      <c r="L102">
        <f t="shared" si="55"/>
        <v>37</v>
      </c>
      <c r="M102">
        <f t="shared" ref="M102:N102" si="56">M101</f>
        <v>36.299999999999997</v>
      </c>
      <c r="N102">
        <f t="shared" si="56"/>
        <v>34.9</v>
      </c>
      <c r="O102">
        <f>O101</f>
        <v>35</v>
      </c>
      <c r="P102">
        <f t="shared" ref="P102:U102" si="57">P101</f>
        <v>35.200000000000003</v>
      </c>
      <c r="Q102">
        <f t="shared" si="57"/>
        <v>34.299999999999997</v>
      </c>
      <c r="R102">
        <f t="shared" si="57"/>
        <v>35.200000000000003</v>
      </c>
      <c r="S102">
        <f t="shared" si="57"/>
        <v>36.4</v>
      </c>
      <c r="T102">
        <f t="shared" si="57"/>
        <v>35.700000000000003</v>
      </c>
      <c r="U102">
        <f t="shared" si="57"/>
        <v>37.299999999999997</v>
      </c>
      <c r="V102">
        <f t="shared" ref="V102:W102" si="58">V101</f>
        <v>35.700000000000003</v>
      </c>
      <c r="W102">
        <f t="shared" si="58"/>
        <v>35.6</v>
      </c>
    </row>
    <row r="103" spans="1:33" x14ac:dyDescent="0.25">
      <c r="A103" t="s">
        <v>120</v>
      </c>
    </row>
    <row r="105" spans="1:33" x14ac:dyDescent="0.25">
      <c r="A105" t="s">
        <v>25</v>
      </c>
      <c r="B105">
        <v>177</v>
      </c>
      <c r="C105">
        <v>211</v>
      </c>
      <c r="D105">
        <v>239</v>
      </c>
      <c r="E105">
        <v>210</v>
      </c>
      <c r="F105">
        <v>184</v>
      </c>
      <c r="G105">
        <v>200</v>
      </c>
      <c r="H105">
        <v>209</v>
      </c>
      <c r="I105">
        <v>184</v>
      </c>
      <c r="J105">
        <v>190</v>
      </c>
      <c r="K105">
        <v>193</v>
      </c>
      <c r="L105">
        <v>192</v>
      </c>
      <c r="M105">
        <v>173</v>
      </c>
      <c r="N105">
        <v>188</v>
      </c>
      <c r="O105">
        <v>306</v>
      </c>
      <c r="P105">
        <v>193</v>
      </c>
      <c r="Q105">
        <v>166</v>
      </c>
      <c r="R105">
        <v>165</v>
      </c>
      <c r="S105">
        <v>172</v>
      </c>
      <c r="T105">
        <v>165</v>
      </c>
      <c r="U105">
        <v>159</v>
      </c>
      <c r="V105">
        <v>166</v>
      </c>
      <c r="W105">
        <v>203</v>
      </c>
      <c r="AD105">
        <v>256</v>
      </c>
      <c r="AE105">
        <v>167</v>
      </c>
      <c r="AF105">
        <v>161</v>
      </c>
      <c r="AG105">
        <v>185</v>
      </c>
    </row>
    <row r="106" spans="1:33" x14ac:dyDescent="0.25">
      <c r="A106" t="s">
        <v>109</v>
      </c>
      <c r="C106">
        <f t="shared" ref="C106" si="59">C105</f>
        <v>211</v>
      </c>
      <c r="H106">
        <f t="shared" ref="H106:J106" si="60">H105</f>
        <v>209</v>
      </c>
      <c r="J106">
        <f t="shared" si="60"/>
        <v>190</v>
      </c>
      <c r="K106">
        <f t="shared" ref="K106:L106" si="61">K105</f>
        <v>193</v>
      </c>
      <c r="L106">
        <f t="shared" si="61"/>
        <v>192</v>
      </c>
      <c r="M106">
        <f t="shared" ref="M106:N106" si="62">M105</f>
        <v>173</v>
      </c>
      <c r="N106">
        <f t="shared" si="62"/>
        <v>188</v>
      </c>
      <c r="O106">
        <f>O105</f>
        <v>306</v>
      </c>
      <c r="P106">
        <f t="shared" ref="P106:U106" si="63">P105</f>
        <v>193</v>
      </c>
      <c r="Q106">
        <f t="shared" si="63"/>
        <v>166</v>
      </c>
      <c r="R106">
        <f t="shared" si="63"/>
        <v>165</v>
      </c>
      <c r="S106">
        <f t="shared" si="63"/>
        <v>172</v>
      </c>
      <c r="T106">
        <f t="shared" si="63"/>
        <v>165</v>
      </c>
      <c r="U106">
        <f t="shared" si="63"/>
        <v>159</v>
      </c>
      <c r="V106">
        <f t="shared" ref="V106:W106" si="64">V105</f>
        <v>166</v>
      </c>
      <c r="W106">
        <f t="shared" si="64"/>
        <v>203</v>
      </c>
    </row>
    <row r="108" spans="1:33" x14ac:dyDescent="0.25">
      <c r="A108" t="s">
        <v>26</v>
      </c>
      <c r="B108">
        <v>3.73</v>
      </c>
      <c r="C108">
        <v>4.43</v>
      </c>
      <c r="D108">
        <v>4.4000000000000004</v>
      </c>
      <c r="E108">
        <v>6.74</v>
      </c>
      <c r="F108">
        <v>4.4400000000000004</v>
      </c>
      <c r="G108">
        <v>3.69</v>
      </c>
      <c r="H108">
        <v>3.67</v>
      </c>
      <c r="I108">
        <v>3.11</v>
      </c>
      <c r="J108">
        <v>2.88</v>
      </c>
      <c r="K108">
        <v>3.69</v>
      </c>
      <c r="L108">
        <v>2.62</v>
      </c>
      <c r="M108">
        <v>2.59</v>
      </c>
      <c r="N108">
        <v>3.31</v>
      </c>
      <c r="O108">
        <v>5.99</v>
      </c>
      <c r="P108">
        <v>3.71</v>
      </c>
      <c r="Q108">
        <v>3.07</v>
      </c>
      <c r="R108">
        <v>3.33</v>
      </c>
      <c r="S108">
        <v>4.09</v>
      </c>
      <c r="T108">
        <v>3.22</v>
      </c>
      <c r="U108">
        <v>3.57</v>
      </c>
      <c r="V108">
        <v>3.16</v>
      </c>
      <c r="W108">
        <v>4</v>
      </c>
      <c r="AD108">
        <v>7.6</v>
      </c>
      <c r="AE108">
        <v>6.3</v>
      </c>
      <c r="AF108">
        <v>4.62</v>
      </c>
      <c r="AG108">
        <v>4.7</v>
      </c>
    </row>
    <row r="109" spans="1:33" x14ac:dyDescent="0.25">
      <c r="A109" t="s">
        <v>99</v>
      </c>
      <c r="C109">
        <f t="shared" ref="C109" si="65">C108</f>
        <v>4.43</v>
      </c>
      <c r="H109">
        <f t="shared" ref="H109:J109" si="66">H108</f>
        <v>3.67</v>
      </c>
      <c r="J109">
        <f t="shared" si="66"/>
        <v>2.88</v>
      </c>
      <c r="K109">
        <f t="shared" ref="K109:L109" si="67">K108</f>
        <v>3.69</v>
      </c>
      <c r="L109">
        <f t="shared" si="67"/>
        <v>2.62</v>
      </c>
      <c r="M109">
        <f t="shared" ref="M109:N109" si="68">M108</f>
        <v>2.59</v>
      </c>
      <c r="N109">
        <f t="shared" si="68"/>
        <v>3.31</v>
      </c>
      <c r="O109">
        <f>O108</f>
        <v>5.99</v>
      </c>
      <c r="P109">
        <f t="shared" ref="P109:U109" si="69">P108</f>
        <v>3.71</v>
      </c>
      <c r="Q109">
        <f t="shared" si="69"/>
        <v>3.07</v>
      </c>
      <c r="R109">
        <f t="shared" si="69"/>
        <v>3.33</v>
      </c>
      <c r="S109">
        <f t="shared" si="69"/>
        <v>4.09</v>
      </c>
      <c r="T109">
        <f t="shared" si="69"/>
        <v>3.22</v>
      </c>
      <c r="U109">
        <f t="shared" si="69"/>
        <v>3.57</v>
      </c>
      <c r="V109">
        <f t="shared" ref="V109:W109" si="70">V108</f>
        <v>3.16</v>
      </c>
      <c r="W109">
        <f t="shared" si="70"/>
        <v>4</v>
      </c>
    </row>
    <row r="110" spans="1:33" x14ac:dyDescent="0.25">
      <c r="A110" t="s">
        <v>205</v>
      </c>
    </row>
    <row r="112" spans="1:33" x14ac:dyDescent="0.25">
      <c r="A112" t="s">
        <v>383</v>
      </c>
      <c r="J112">
        <v>1</v>
      </c>
      <c r="L112">
        <v>1</v>
      </c>
      <c r="M112">
        <v>3</v>
      </c>
    </row>
    <row r="114" spans="1:33" x14ac:dyDescent="0.25">
      <c r="A114" t="s">
        <v>384</v>
      </c>
      <c r="J114">
        <v>51</v>
      </c>
      <c r="L114">
        <v>50</v>
      </c>
      <c r="M114">
        <v>44</v>
      </c>
    </row>
    <row r="116" spans="1:33" x14ac:dyDescent="0.25">
      <c r="A116" t="s">
        <v>27</v>
      </c>
      <c r="B116">
        <v>48.5</v>
      </c>
      <c r="C116">
        <v>55</v>
      </c>
      <c r="D116">
        <v>48.8</v>
      </c>
      <c r="E116">
        <v>69.7</v>
      </c>
      <c r="F116">
        <v>57.1</v>
      </c>
      <c r="G116">
        <v>43.8</v>
      </c>
      <c r="H116">
        <v>57.8</v>
      </c>
      <c r="I116">
        <v>51.6</v>
      </c>
      <c r="J116">
        <v>52</v>
      </c>
      <c r="K116">
        <v>43.5</v>
      </c>
      <c r="L116">
        <v>51</v>
      </c>
      <c r="M116">
        <v>47</v>
      </c>
      <c r="N116">
        <v>44.8</v>
      </c>
      <c r="O116">
        <v>52.3</v>
      </c>
      <c r="P116">
        <v>41.2</v>
      </c>
      <c r="Q116">
        <v>44</v>
      </c>
      <c r="R116">
        <v>39.700000000000003</v>
      </c>
      <c r="S116">
        <v>48.9</v>
      </c>
      <c r="T116">
        <v>42.9</v>
      </c>
      <c r="U116">
        <v>44.9</v>
      </c>
      <c r="V116">
        <v>42.7</v>
      </c>
      <c r="W116">
        <v>48.4</v>
      </c>
      <c r="AD116">
        <v>56.5</v>
      </c>
    </row>
    <row r="117" spans="1:33" x14ac:dyDescent="0.25">
      <c r="A117" t="s">
        <v>98</v>
      </c>
      <c r="C117">
        <f t="shared" ref="C117" si="71">C116</f>
        <v>55</v>
      </c>
      <c r="H117">
        <f t="shared" ref="H117:J117" si="72">H116</f>
        <v>57.8</v>
      </c>
      <c r="J117">
        <f t="shared" si="72"/>
        <v>52</v>
      </c>
      <c r="K117">
        <f t="shared" ref="K117:L117" si="73">K116</f>
        <v>43.5</v>
      </c>
      <c r="L117">
        <f t="shared" si="73"/>
        <v>51</v>
      </c>
      <c r="M117">
        <f t="shared" ref="M117:N117" si="74">M116</f>
        <v>47</v>
      </c>
      <c r="N117">
        <f t="shared" si="74"/>
        <v>44.8</v>
      </c>
      <c r="O117">
        <f>O116</f>
        <v>52.3</v>
      </c>
      <c r="P117">
        <f t="shared" ref="P117:U117" si="75">P116</f>
        <v>41.2</v>
      </c>
      <c r="Q117">
        <f t="shared" si="75"/>
        <v>44</v>
      </c>
      <c r="R117">
        <f t="shared" si="75"/>
        <v>39.700000000000003</v>
      </c>
      <c r="S117">
        <f t="shared" si="75"/>
        <v>48.9</v>
      </c>
      <c r="T117">
        <f t="shared" si="75"/>
        <v>42.9</v>
      </c>
      <c r="U117">
        <f t="shared" si="75"/>
        <v>44.9</v>
      </c>
      <c r="V117">
        <f t="shared" ref="V117:W117" si="76">V116</f>
        <v>42.7</v>
      </c>
      <c r="W117">
        <f t="shared" si="76"/>
        <v>48.4</v>
      </c>
    </row>
    <row r="118" spans="1:33" x14ac:dyDescent="0.25">
      <c r="A118" t="s">
        <v>120</v>
      </c>
    </row>
    <row r="120" spans="1:33" x14ac:dyDescent="0.25">
      <c r="A120" t="s">
        <v>28</v>
      </c>
      <c r="B120">
        <v>37.4</v>
      </c>
      <c r="C120">
        <v>34.5</v>
      </c>
      <c r="D120">
        <v>38</v>
      </c>
      <c r="E120">
        <v>19.2</v>
      </c>
      <c r="F120">
        <v>31.8</v>
      </c>
      <c r="G120">
        <v>42.6</v>
      </c>
      <c r="H120">
        <v>32.5</v>
      </c>
      <c r="I120">
        <v>33.799999999999997</v>
      </c>
      <c r="J120">
        <v>33</v>
      </c>
      <c r="K120">
        <v>39.6</v>
      </c>
      <c r="L120">
        <v>39</v>
      </c>
      <c r="M120">
        <v>42</v>
      </c>
      <c r="N120">
        <v>43.6</v>
      </c>
      <c r="O120">
        <v>36.9</v>
      </c>
      <c r="P120">
        <v>47.5</v>
      </c>
      <c r="Q120">
        <v>40.4</v>
      </c>
      <c r="R120">
        <v>45.9</v>
      </c>
      <c r="S120">
        <v>36.4</v>
      </c>
      <c r="T120">
        <v>39.799999999999997</v>
      </c>
      <c r="U120">
        <v>36.700000000000003</v>
      </c>
      <c r="V120">
        <v>38.6</v>
      </c>
      <c r="W120">
        <v>35.299999999999997</v>
      </c>
      <c r="AD120">
        <v>31.2</v>
      </c>
      <c r="AE120">
        <v>21</v>
      </c>
      <c r="AF120">
        <v>40.700000000000003</v>
      </c>
      <c r="AG120">
        <v>38</v>
      </c>
    </row>
    <row r="121" spans="1:33" x14ac:dyDescent="0.25">
      <c r="A121" t="s">
        <v>97</v>
      </c>
      <c r="C121">
        <f t="shared" ref="C121" si="77">C120</f>
        <v>34.5</v>
      </c>
      <c r="H121">
        <f t="shared" ref="H121:J121" si="78">H120</f>
        <v>32.5</v>
      </c>
      <c r="J121">
        <f t="shared" si="78"/>
        <v>33</v>
      </c>
      <c r="K121">
        <f t="shared" ref="K121:L121" si="79">K120</f>
        <v>39.6</v>
      </c>
      <c r="L121">
        <f t="shared" si="79"/>
        <v>39</v>
      </c>
      <c r="M121">
        <f t="shared" ref="M121:N121" si="80">M120</f>
        <v>42</v>
      </c>
      <c r="N121">
        <f t="shared" si="80"/>
        <v>43.6</v>
      </c>
      <c r="O121">
        <f>O120</f>
        <v>36.9</v>
      </c>
      <c r="P121">
        <f t="shared" ref="P121:U121" si="81">P120</f>
        <v>47.5</v>
      </c>
      <c r="Q121">
        <f t="shared" si="81"/>
        <v>40.4</v>
      </c>
      <c r="R121">
        <f t="shared" si="81"/>
        <v>45.9</v>
      </c>
      <c r="S121">
        <f t="shared" si="81"/>
        <v>36.4</v>
      </c>
      <c r="T121">
        <f t="shared" si="81"/>
        <v>39.799999999999997</v>
      </c>
      <c r="U121">
        <f t="shared" si="81"/>
        <v>36.700000000000003</v>
      </c>
      <c r="V121">
        <f t="shared" ref="V121:W121" si="82">V120</f>
        <v>38.6</v>
      </c>
      <c r="W121">
        <f t="shared" si="82"/>
        <v>35.299999999999997</v>
      </c>
    </row>
    <row r="122" spans="1:33" x14ac:dyDescent="0.25">
      <c r="A122" t="s">
        <v>121</v>
      </c>
    </row>
    <row r="124" spans="1:33" x14ac:dyDescent="0.25">
      <c r="A124" t="s">
        <v>29</v>
      </c>
      <c r="B124">
        <v>9.9</v>
      </c>
      <c r="C124">
        <v>7.7</v>
      </c>
      <c r="D124">
        <v>8.8000000000000007</v>
      </c>
      <c r="E124">
        <v>7.8</v>
      </c>
      <c r="F124">
        <v>8</v>
      </c>
      <c r="G124">
        <v>10.6</v>
      </c>
      <c r="H124">
        <v>7.7</v>
      </c>
      <c r="I124">
        <v>11.7</v>
      </c>
      <c r="J124">
        <v>9</v>
      </c>
      <c r="K124">
        <v>10.8</v>
      </c>
      <c r="L124">
        <v>9</v>
      </c>
      <c r="M124">
        <v>6</v>
      </c>
      <c r="N124">
        <v>8.4</v>
      </c>
      <c r="O124">
        <v>7.9</v>
      </c>
      <c r="P124">
        <v>7.7</v>
      </c>
      <c r="Q124">
        <v>10.1</v>
      </c>
      <c r="R124">
        <v>10.5</v>
      </c>
      <c r="S124">
        <v>9.3000000000000007</v>
      </c>
      <c r="T124">
        <v>12.1</v>
      </c>
      <c r="U124">
        <v>12</v>
      </c>
      <c r="V124">
        <v>13.6</v>
      </c>
      <c r="W124">
        <v>11.3</v>
      </c>
      <c r="AD124">
        <v>9.1999999999999993</v>
      </c>
      <c r="AE124">
        <v>5</v>
      </c>
      <c r="AF124">
        <v>10.3</v>
      </c>
      <c r="AG124">
        <v>10</v>
      </c>
    </row>
    <row r="125" spans="1:33" x14ac:dyDescent="0.25">
      <c r="A125" t="s">
        <v>96</v>
      </c>
      <c r="C125">
        <f t="shared" ref="C125" si="83">C124</f>
        <v>7.7</v>
      </c>
      <c r="H125">
        <f t="shared" ref="H125:J125" si="84">H124</f>
        <v>7.7</v>
      </c>
      <c r="J125">
        <f t="shared" si="84"/>
        <v>9</v>
      </c>
      <c r="K125">
        <f t="shared" ref="K125:L125" si="85">K124</f>
        <v>10.8</v>
      </c>
      <c r="L125">
        <f t="shared" si="85"/>
        <v>9</v>
      </c>
      <c r="M125">
        <f t="shared" ref="M125:N125" si="86">M124</f>
        <v>6</v>
      </c>
      <c r="N125">
        <f t="shared" si="86"/>
        <v>8.4</v>
      </c>
      <c r="O125">
        <f>O124</f>
        <v>7.9</v>
      </c>
      <c r="P125">
        <f t="shared" ref="P125:U125" si="87">P124</f>
        <v>7.7</v>
      </c>
      <c r="Q125">
        <f t="shared" si="87"/>
        <v>10.1</v>
      </c>
      <c r="R125">
        <f t="shared" si="87"/>
        <v>10.5</v>
      </c>
      <c r="S125">
        <f t="shared" si="87"/>
        <v>9.3000000000000007</v>
      </c>
      <c r="T125">
        <f t="shared" si="87"/>
        <v>12.1</v>
      </c>
      <c r="U125">
        <f t="shared" si="87"/>
        <v>12</v>
      </c>
      <c r="V125">
        <f t="shared" ref="V125:W125" si="88">V124</f>
        <v>13.6</v>
      </c>
      <c r="W125">
        <f t="shared" si="88"/>
        <v>11.3</v>
      </c>
    </row>
    <row r="127" spans="1:33" x14ac:dyDescent="0.25">
      <c r="A127" t="s">
        <v>30</v>
      </c>
      <c r="B127">
        <v>2.9</v>
      </c>
      <c r="C127">
        <v>2</v>
      </c>
      <c r="D127">
        <v>3.4</v>
      </c>
      <c r="E127">
        <v>2.8</v>
      </c>
      <c r="F127">
        <v>2.4</v>
      </c>
      <c r="G127">
        <v>2.2000000000000002</v>
      </c>
      <c r="H127">
        <v>1.3</v>
      </c>
      <c r="I127">
        <v>2</v>
      </c>
      <c r="J127">
        <v>3</v>
      </c>
      <c r="K127">
        <v>4.8</v>
      </c>
      <c r="L127">
        <v>1</v>
      </c>
      <c r="M127">
        <v>4</v>
      </c>
      <c r="N127">
        <v>2.2999999999999998</v>
      </c>
      <c r="O127">
        <v>2</v>
      </c>
      <c r="P127">
        <v>2.4</v>
      </c>
      <c r="Q127">
        <v>4.2</v>
      </c>
      <c r="R127">
        <v>2.7</v>
      </c>
      <c r="S127">
        <v>4.2</v>
      </c>
      <c r="T127">
        <v>4.3</v>
      </c>
      <c r="U127">
        <v>5.6</v>
      </c>
      <c r="V127">
        <v>3.5</v>
      </c>
      <c r="W127">
        <v>4.5</v>
      </c>
      <c r="AD127">
        <v>2.2000000000000002</v>
      </c>
      <c r="AE127">
        <v>2</v>
      </c>
      <c r="AF127">
        <v>3.41</v>
      </c>
      <c r="AG127">
        <v>2</v>
      </c>
    </row>
    <row r="128" spans="1:33" x14ac:dyDescent="0.25">
      <c r="A128" t="s">
        <v>95</v>
      </c>
      <c r="C128">
        <f t="shared" ref="C128" si="89">C127</f>
        <v>2</v>
      </c>
      <c r="H128">
        <f t="shared" ref="H128:J128" si="90">H127</f>
        <v>1.3</v>
      </c>
      <c r="J128">
        <f t="shared" si="90"/>
        <v>3</v>
      </c>
      <c r="K128">
        <f t="shared" ref="K128:L128" si="91">K127</f>
        <v>4.8</v>
      </c>
      <c r="L128">
        <f t="shared" si="91"/>
        <v>1</v>
      </c>
      <c r="M128">
        <f t="shared" ref="M128:N128" si="92">M127</f>
        <v>4</v>
      </c>
      <c r="N128">
        <f t="shared" si="92"/>
        <v>2.2999999999999998</v>
      </c>
      <c r="O128">
        <f>O127</f>
        <v>2</v>
      </c>
      <c r="P128">
        <f t="shared" ref="P128:U128" si="93">P127</f>
        <v>2.4</v>
      </c>
      <c r="Q128">
        <f t="shared" si="93"/>
        <v>4.2</v>
      </c>
      <c r="R128">
        <f t="shared" si="93"/>
        <v>2.7</v>
      </c>
      <c r="S128">
        <f t="shared" si="93"/>
        <v>4.2</v>
      </c>
      <c r="T128">
        <f t="shared" si="93"/>
        <v>4.3</v>
      </c>
      <c r="U128">
        <f t="shared" si="93"/>
        <v>5.6</v>
      </c>
      <c r="V128">
        <f t="shared" ref="V128:W128" si="94">V127</f>
        <v>3.5</v>
      </c>
      <c r="W128">
        <f t="shared" si="94"/>
        <v>4.5</v>
      </c>
    </row>
    <row r="130" spans="1:33" x14ac:dyDescent="0.25">
      <c r="A130" t="s">
        <v>31</v>
      </c>
      <c r="B130">
        <v>1.3</v>
      </c>
      <c r="C130">
        <v>0.8</v>
      </c>
      <c r="D130">
        <v>1</v>
      </c>
      <c r="E130">
        <v>0.5</v>
      </c>
      <c r="F130">
        <v>0.7</v>
      </c>
      <c r="G130">
        <v>0.8</v>
      </c>
      <c r="H130">
        <v>0.7</v>
      </c>
      <c r="I130">
        <v>0.9</v>
      </c>
      <c r="J130">
        <v>3</v>
      </c>
      <c r="K130">
        <v>1.3</v>
      </c>
      <c r="M130">
        <v>1</v>
      </c>
      <c r="N130">
        <v>0.9</v>
      </c>
      <c r="O130">
        <v>0.9</v>
      </c>
      <c r="P130">
        <v>1.2</v>
      </c>
      <c r="Q130">
        <v>1.3</v>
      </c>
      <c r="R130">
        <v>1.2</v>
      </c>
      <c r="S130">
        <v>1.2</v>
      </c>
      <c r="T130">
        <v>0.9</v>
      </c>
      <c r="U130">
        <v>0.8</v>
      </c>
      <c r="V130">
        <v>1.6</v>
      </c>
      <c r="W130">
        <v>0.5</v>
      </c>
      <c r="AD130">
        <v>0.9</v>
      </c>
      <c r="AF130">
        <v>1.1000000000000001</v>
      </c>
    </row>
    <row r="131" spans="1:33" x14ac:dyDescent="0.25">
      <c r="A131" t="s">
        <v>94</v>
      </c>
      <c r="C131">
        <f t="shared" ref="C131" si="95">C130</f>
        <v>0.8</v>
      </c>
      <c r="H131">
        <f t="shared" ref="H131:J131" si="96">H130</f>
        <v>0.7</v>
      </c>
      <c r="J131">
        <f t="shared" si="96"/>
        <v>3</v>
      </c>
      <c r="K131">
        <f t="shared" ref="K131" si="97">K130</f>
        <v>1.3</v>
      </c>
      <c r="M131">
        <f t="shared" ref="M131:N131" si="98">M130</f>
        <v>1</v>
      </c>
      <c r="N131">
        <f t="shared" si="98"/>
        <v>0.9</v>
      </c>
      <c r="O131">
        <f>O130</f>
        <v>0.9</v>
      </c>
      <c r="P131">
        <f t="shared" ref="P131:U131" si="99">P130</f>
        <v>1.2</v>
      </c>
      <c r="Q131">
        <f t="shared" si="99"/>
        <v>1.3</v>
      </c>
      <c r="R131">
        <f t="shared" si="99"/>
        <v>1.2</v>
      </c>
      <c r="S131">
        <f t="shared" si="99"/>
        <v>1.2</v>
      </c>
      <c r="T131">
        <f t="shared" si="99"/>
        <v>0.9</v>
      </c>
      <c r="U131">
        <f t="shared" si="99"/>
        <v>0.8</v>
      </c>
      <c r="V131">
        <f t="shared" ref="V131:W131" si="100">V130</f>
        <v>1.6</v>
      </c>
      <c r="W131">
        <f t="shared" si="100"/>
        <v>0.5</v>
      </c>
    </row>
    <row r="132" spans="1:33" x14ac:dyDescent="0.25">
      <c r="A132" t="s">
        <v>120</v>
      </c>
    </row>
    <row r="134" spans="1:33" x14ac:dyDescent="0.25">
      <c r="A134" t="s">
        <v>32</v>
      </c>
      <c r="B134">
        <v>1.81</v>
      </c>
      <c r="C134">
        <v>2.44</v>
      </c>
      <c r="D134">
        <v>2.15</v>
      </c>
      <c r="E134">
        <v>4.7</v>
      </c>
      <c r="F134">
        <v>2.5299999999999998</v>
      </c>
      <c r="G134">
        <v>1.62</v>
      </c>
      <c r="H134">
        <v>2.12</v>
      </c>
      <c r="I134">
        <v>1.61</v>
      </c>
      <c r="J134">
        <v>1.5</v>
      </c>
      <c r="K134">
        <v>1.61</v>
      </c>
      <c r="L134">
        <v>1.34</v>
      </c>
      <c r="M134">
        <v>1.22</v>
      </c>
      <c r="N134">
        <v>1.48</v>
      </c>
      <c r="O134">
        <v>3.14</v>
      </c>
      <c r="P134">
        <v>1.53</v>
      </c>
      <c r="Q134">
        <v>1.35</v>
      </c>
      <c r="R134">
        <v>1.32</v>
      </c>
      <c r="S134">
        <v>2</v>
      </c>
      <c r="T134">
        <v>1.38</v>
      </c>
      <c r="U134">
        <v>1.6</v>
      </c>
      <c r="V134">
        <v>1.35</v>
      </c>
      <c r="W134">
        <v>1.94</v>
      </c>
      <c r="AD134">
        <v>4.3</v>
      </c>
    </row>
    <row r="135" spans="1:33" x14ac:dyDescent="0.25">
      <c r="A135" t="s">
        <v>93</v>
      </c>
      <c r="C135">
        <f t="shared" ref="C135" si="101">C134*1000</f>
        <v>2440</v>
      </c>
      <c r="H135">
        <f t="shared" ref="H135:J135" si="102">H134*1000</f>
        <v>2120</v>
      </c>
      <c r="J135">
        <f t="shared" si="102"/>
        <v>1500</v>
      </c>
      <c r="K135">
        <f t="shared" ref="K135:L135" si="103">K134*1000</f>
        <v>1610</v>
      </c>
      <c r="L135">
        <f t="shared" si="103"/>
        <v>1340</v>
      </c>
      <c r="M135">
        <f t="shared" ref="M135:N135" si="104">M134*1000</f>
        <v>1220</v>
      </c>
      <c r="N135">
        <f t="shared" si="104"/>
        <v>1480</v>
      </c>
      <c r="O135">
        <f>O134*1000</f>
        <v>3140</v>
      </c>
      <c r="P135">
        <f t="shared" ref="P135:U135" si="105">P134*1000</f>
        <v>1530</v>
      </c>
      <c r="Q135">
        <f t="shared" si="105"/>
        <v>1350</v>
      </c>
      <c r="R135">
        <f t="shared" si="105"/>
        <v>1320</v>
      </c>
      <c r="S135">
        <f t="shared" si="105"/>
        <v>2000</v>
      </c>
      <c r="T135">
        <f t="shared" si="105"/>
        <v>1380</v>
      </c>
      <c r="U135">
        <f t="shared" si="105"/>
        <v>1600</v>
      </c>
      <c r="V135">
        <f t="shared" ref="V135:W135" si="106">V134*1000</f>
        <v>1350</v>
      </c>
      <c r="W135">
        <f t="shared" si="106"/>
        <v>1940</v>
      </c>
    </row>
    <row r="137" spans="1:33" x14ac:dyDescent="0.25">
      <c r="A137" t="s">
        <v>33</v>
      </c>
      <c r="B137">
        <v>1.39</v>
      </c>
      <c r="C137">
        <v>1.52</v>
      </c>
      <c r="D137">
        <v>1.67</v>
      </c>
      <c r="E137">
        <v>1.29</v>
      </c>
      <c r="F137">
        <v>1.41</v>
      </c>
      <c r="G137">
        <v>1.57</v>
      </c>
      <c r="H137">
        <v>1.19</v>
      </c>
      <c r="I137">
        <v>1.05</v>
      </c>
      <c r="J137">
        <v>0.95</v>
      </c>
      <c r="K137">
        <v>1.45</v>
      </c>
      <c r="L137">
        <v>1.02</v>
      </c>
      <c r="M137">
        <v>1.0900000000000001</v>
      </c>
      <c r="N137">
        <v>1.44</v>
      </c>
      <c r="O137">
        <v>2.21</v>
      </c>
      <c r="P137">
        <v>1.76</v>
      </c>
      <c r="Q137">
        <v>1.24</v>
      </c>
      <c r="R137">
        <v>1.53</v>
      </c>
      <c r="S137">
        <v>1.49</v>
      </c>
      <c r="T137">
        <v>1.28</v>
      </c>
      <c r="U137">
        <v>1.31</v>
      </c>
      <c r="V137">
        <v>1.22</v>
      </c>
      <c r="W137">
        <v>1.41</v>
      </c>
      <c r="AD137">
        <v>2.4</v>
      </c>
      <c r="AE137">
        <v>1.3</v>
      </c>
      <c r="AF137">
        <f>AF108*AF120/100</f>
        <v>1.8803400000000001</v>
      </c>
      <c r="AG137">
        <f>AG108*AG120/100</f>
        <v>1.786</v>
      </c>
    </row>
    <row r="138" spans="1:33" x14ac:dyDescent="0.25">
      <c r="A138" t="s">
        <v>92</v>
      </c>
      <c r="C138">
        <f t="shared" ref="C138" si="107">C137*1000</f>
        <v>1520</v>
      </c>
      <c r="H138">
        <f t="shared" ref="H138:J138" si="108">H137*1000</f>
        <v>1190</v>
      </c>
      <c r="J138">
        <f t="shared" si="108"/>
        <v>950</v>
      </c>
      <c r="K138">
        <f t="shared" ref="K138:L138" si="109">K137*1000</f>
        <v>1450</v>
      </c>
      <c r="L138">
        <f t="shared" si="109"/>
        <v>1020</v>
      </c>
      <c r="M138">
        <f t="shared" ref="M138:N138" si="110">M137*1000</f>
        <v>1090</v>
      </c>
      <c r="N138">
        <f t="shared" si="110"/>
        <v>1440</v>
      </c>
      <c r="O138">
        <f>O137*1000</f>
        <v>2210</v>
      </c>
      <c r="P138">
        <f t="shared" ref="P138:U138" si="111">P137*1000</f>
        <v>1760</v>
      </c>
      <c r="Q138">
        <f t="shared" si="111"/>
        <v>1240</v>
      </c>
      <c r="R138">
        <f t="shared" si="111"/>
        <v>1530</v>
      </c>
      <c r="S138">
        <f t="shared" si="111"/>
        <v>1490</v>
      </c>
      <c r="T138">
        <f t="shared" si="111"/>
        <v>1280</v>
      </c>
      <c r="U138">
        <f t="shared" si="111"/>
        <v>1310</v>
      </c>
      <c r="V138">
        <f t="shared" ref="V138:W138" si="112">V137*1000</f>
        <v>1220</v>
      </c>
      <c r="W138">
        <f t="shared" si="112"/>
        <v>1410</v>
      </c>
    </row>
    <row r="140" spans="1:33" x14ac:dyDescent="0.25">
      <c r="A140" t="s">
        <v>34</v>
      </c>
      <c r="B140">
        <v>0.37</v>
      </c>
      <c r="C140">
        <v>0.34</v>
      </c>
      <c r="D140">
        <v>0.39</v>
      </c>
      <c r="E140">
        <v>0.53</v>
      </c>
      <c r="F140">
        <v>0.36</v>
      </c>
      <c r="G140">
        <v>0.39</v>
      </c>
      <c r="H140">
        <v>0.28000000000000003</v>
      </c>
      <c r="I140">
        <v>0.36</v>
      </c>
      <c r="J140">
        <v>0.26</v>
      </c>
      <c r="K140">
        <v>0.4</v>
      </c>
      <c r="L140">
        <v>0.24</v>
      </c>
      <c r="M140">
        <v>0.16</v>
      </c>
      <c r="N140">
        <v>0.28999999999999998</v>
      </c>
      <c r="O140">
        <v>0.47</v>
      </c>
      <c r="P140">
        <v>0.28999999999999998</v>
      </c>
      <c r="Q140">
        <v>0.31</v>
      </c>
      <c r="R140">
        <v>0.35</v>
      </c>
      <c r="S140">
        <v>0.38</v>
      </c>
      <c r="T140">
        <v>0.39</v>
      </c>
      <c r="U140">
        <v>0.43</v>
      </c>
      <c r="V140">
        <v>0.43</v>
      </c>
      <c r="W140">
        <v>0.45</v>
      </c>
      <c r="AD140">
        <v>0.7</v>
      </c>
      <c r="AE140">
        <v>0.3</v>
      </c>
    </row>
    <row r="141" spans="1:33" x14ac:dyDescent="0.25">
      <c r="A141" t="s">
        <v>91</v>
      </c>
      <c r="C141">
        <f t="shared" ref="C141" si="113">C140*1000</f>
        <v>340</v>
      </c>
      <c r="H141">
        <f t="shared" ref="H141:J141" si="114">H140*1000</f>
        <v>280</v>
      </c>
      <c r="J141">
        <f t="shared" si="114"/>
        <v>260</v>
      </c>
      <c r="K141">
        <f t="shared" ref="K141:L141" si="115">K140*1000</f>
        <v>400</v>
      </c>
      <c r="L141">
        <f t="shared" si="115"/>
        <v>240</v>
      </c>
      <c r="M141">
        <f t="shared" ref="M141:N141" si="116">M140*1000</f>
        <v>160</v>
      </c>
      <c r="N141">
        <f t="shared" si="116"/>
        <v>290</v>
      </c>
      <c r="O141">
        <f>O140*1000</f>
        <v>470</v>
      </c>
      <c r="P141">
        <f t="shared" ref="P141:U141" si="117">P140*1000</f>
        <v>290</v>
      </c>
      <c r="Q141">
        <f t="shared" si="117"/>
        <v>310</v>
      </c>
      <c r="R141">
        <f t="shared" si="117"/>
        <v>350</v>
      </c>
      <c r="S141">
        <f t="shared" si="117"/>
        <v>380</v>
      </c>
      <c r="T141">
        <f t="shared" si="117"/>
        <v>390</v>
      </c>
      <c r="U141">
        <f t="shared" si="117"/>
        <v>430</v>
      </c>
      <c r="V141">
        <f t="shared" ref="V141:W141" si="118">V140*1000</f>
        <v>430</v>
      </c>
      <c r="W141">
        <f t="shared" si="118"/>
        <v>450</v>
      </c>
    </row>
    <row r="143" spans="1:33" x14ac:dyDescent="0.25">
      <c r="A143" t="s">
        <v>35</v>
      </c>
      <c r="B143">
        <v>0.11</v>
      </c>
      <c r="C143">
        <v>0.09</v>
      </c>
      <c r="D143">
        <v>0.15</v>
      </c>
      <c r="E143">
        <v>0.19</v>
      </c>
      <c r="F143">
        <v>0.11</v>
      </c>
      <c r="G143">
        <v>0.08</v>
      </c>
      <c r="H143">
        <v>0.05</v>
      </c>
      <c r="I143">
        <v>0.06</v>
      </c>
      <c r="J143">
        <v>0.09</v>
      </c>
      <c r="K143">
        <v>0.18</v>
      </c>
      <c r="L143">
        <v>0.03</v>
      </c>
      <c r="M143">
        <v>0.1</v>
      </c>
      <c r="N143">
        <v>0.08</v>
      </c>
      <c r="O143">
        <v>0.12</v>
      </c>
      <c r="P143">
        <v>0.09</v>
      </c>
      <c r="Q143">
        <v>0.13</v>
      </c>
      <c r="R143">
        <v>0.09</v>
      </c>
      <c r="S143">
        <v>0.17</v>
      </c>
      <c r="T143">
        <v>0.14000000000000001</v>
      </c>
      <c r="U143">
        <v>0.2</v>
      </c>
      <c r="V143">
        <v>0.11</v>
      </c>
      <c r="W143">
        <v>0.18</v>
      </c>
      <c r="AD143">
        <v>0.2</v>
      </c>
    </row>
    <row r="144" spans="1:33" x14ac:dyDescent="0.25">
      <c r="A144" t="s">
        <v>90</v>
      </c>
      <c r="C144">
        <f t="shared" ref="C144" si="119">C143*1000</f>
        <v>90</v>
      </c>
      <c r="H144">
        <f t="shared" ref="H144:J144" si="120">H143*1000</f>
        <v>50</v>
      </c>
      <c r="J144">
        <f t="shared" si="120"/>
        <v>90</v>
      </c>
      <c r="K144">
        <f t="shared" ref="K144:L144" si="121">K143*1000</f>
        <v>180</v>
      </c>
      <c r="L144">
        <f t="shared" si="121"/>
        <v>30</v>
      </c>
      <c r="M144">
        <f t="shared" ref="M144:N144" si="122">M143*1000</f>
        <v>100</v>
      </c>
      <c r="N144">
        <f t="shared" si="122"/>
        <v>80</v>
      </c>
      <c r="O144">
        <f>O143*1000</f>
        <v>120</v>
      </c>
      <c r="P144">
        <f t="shared" ref="P144:U144" si="123">P143*1000</f>
        <v>90</v>
      </c>
      <c r="Q144">
        <f t="shared" si="123"/>
        <v>130</v>
      </c>
      <c r="R144">
        <f t="shared" si="123"/>
        <v>90</v>
      </c>
      <c r="S144">
        <f t="shared" si="123"/>
        <v>170</v>
      </c>
      <c r="T144">
        <f t="shared" si="123"/>
        <v>140</v>
      </c>
      <c r="U144">
        <f t="shared" si="123"/>
        <v>200</v>
      </c>
      <c r="V144">
        <f t="shared" ref="V144:W144" si="124">V143*1000</f>
        <v>110</v>
      </c>
      <c r="W144">
        <f t="shared" si="124"/>
        <v>180</v>
      </c>
    </row>
    <row r="146" spans="1:38" x14ac:dyDescent="0.25">
      <c r="A146" t="s">
        <v>36</v>
      </c>
      <c r="B146">
        <v>0.05</v>
      </c>
      <c r="C146">
        <v>0.04</v>
      </c>
      <c r="D146">
        <v>0.04</v>
      </c>
      <c r="E146">
        <v>0.03</v>
      </c>
      <c r="F146">
        <v>0.03</v>
      </c>
      <c r="G146">
        <v>0.03</v>
      </c>
      <c r="H146">
        <v>0.03</v>
      </c>
      <c r="I146">
        <v>0.03</v>
      </c>
      <c r="J146">
        <v>0.09</v>
      </c>
      <c r="K146">
        <v>0.05</v>
      </c>
      <c r="M146">
        <v>0.03</v>
      </c>
      <c r="N146">
        <v>0.03</v>
      </c>
      <c r="O146">
        <v>0.05</v>
      </c>
      <c r="P146">
        <v>0.04</v>
      </c>
      <c r="Q146">
        <v>0.04</v>
      </c>
      <c r="R146">
        <v>0.04</v>
      </c>
      <c r="S146">
        <v>0.05</v>
      </c>
      <c r="T146">
        <v>0.03</v>
      </c>
      <c r="U146">
        <v>0.03</v>
      </c>
      <c r="V146">
        <v>0.05</v>
      </c>
      <c r="W146">
        <v>0.02</v>
      </c>
      <c r="AD146">
        <v>0.1</v>
      </c>
    </row>
    <row r="147" spans="1:38" x14ac:dyDescent="0.25">
      <c r="A147" t="s">
        <v>89</v>
      </c>
      <c r="C147">
        <f t="shared" ref="C147" si="125">C146*1000</f>
        <v>40</v>
      </c>
      <c r="H147">
        <f t="shared" ref="H147:J147" si="126">H146*1000</f>
        <v>30</v>
      </c>
      <c r="J147">
        <f t="shared" si="126"/>
        <v>90</v>
      </c>
      <c r="K147">
        <f t="shared" ref="K147" si="127">K146*1000</f>
        <v>50</v>
      </c>
      <c r="M147">
        <f t="shared" ref="M147:N147" si="128">M146*1000</f>
        <v>30</v>
      </c>
      <c r="N147">
        <f t="shared" si="128"/>
        <v>30</v>
      </c>
      <c r="O147">
        <f>O146*1000</f>
        <v>50</v>
      </c>
      <c r="P147">
        <f t="shared" ref="P147:U147" si="129">P146*1000</f>
        <v>40</v>
      </c>
      <c r="Q147">
        <f t="shared" si="129"/>
        <v>40</v>
      </c>
      <c r="R147">
        <f t="shared" si="129"/>
        <v>40</v>
      </c>
      <c r="S147">
        <f t="shared" si="129"/>
        <v>50</v>
      </c>
      <c r="T147">
        <f t="shared" si="129"/>
        <v>30</v>
      </c>
      <c r="U147">
        <f t="shared" si="129"/>
        <v>30</v>
      </c>
      <c r="V147">
        <f t="shared" ref="V147:W147" si="130">V146*1000</f>
        <v>50</v>
      </c>
      <c r="W147">
        <f t="shared" si="130"/>
        <v>20</v>
      </c>
    </row>
    <row r="149" spans="1:38" x14ac:dyDescent="0.25">
      <c r="A149" t="s">
        <v>220</v>
      </c>
      <c r="B149">
        <v>5</v>
      </c>
      <c r="C149">
        <v>5</v>
      </c>
      <c r="D149">
        <v>8</v>
      </c>
      <c r="E149">
        <v>7</v>
      </c>
      <c r="F149">
        <v>7</v>
      </c>
      <c r="G149">
        <v>3</v>
      </c>
      <c r="H149">
        <v>6</v>
      </c>
      <c r="I149">
        <v>4</v>
      </c>
      <c r="J149">
        <v>8</v>
      </c>
      <c r="K149">
        <v>4</v>
      </c>
      <c r="L149">
        <v>2</v>
      </c>
      <c r="M149">
        <v>4</v>
      </c>
      <c r="N149">
        <v>5</v>
      </c>
      <c r="O149">
        <v>46</v>
      </c>
      <c r="P149">
        <v>1</v>
      </c>
      <c r="R149">
        <v>4</v>
      </c>
      <c r="AE149">
        <v>6</v>
      </c>
      <c r="AF149">
        <v>4</v>
      </c>
      <c r="AG149">
        <v>1</v>
      </c>
    </row>
    <row r="151" spans="1:38" x14ac:dyDescent="0.25">
      <c r="A151" t="s">
        <v>324</v>
      </c>
      <c r="N151">
        <v>2.7</v>
      </c>
    </row>
    <row r="153" spans="1:38" x14ac:dyDescent="0.25">
      <c r="A153" t="s">
        <v>37</v>
      </c>
      <c r="B153">
        <v>9.1300000000000008</v>
      </c>
      <c r="C153">
        <v>8.24</v>
      </c>
      <c r="H153">
        <v>7.34</v>
      </c>
      <c r="J153">
        <v>6.95</v>
      </c>
      <c r="L153">
        <v>8.4</v>
      </c>
      <c r="M153">
        <v>11.08</v>
      </c>
      <c r="N153">
        <v>12.37</v>
      </c>
      <c r="P153">
        <v>7.52</v>
      </c>
      <c r="Q153">
        <v>9.57</v>
      </c>
      <c r="R153">
        <v>10.199999999999999</v>
      </c>
      <c r="S153">
        <v>8.81</v>
      </c>
      <c r="T153">
        <v>9.5399999999999991</v>
      </c>
      <c r="U153">
        <v>7.97</v>
      </c>
    </row>
    <row r="154" spans="1:38" x14ac:dyDescent="0.25">
      <c r="A154" t="s">
        <v>127</v>
      </c>
      <c r="C154">
        <f t="shared" ref="C154" si="131">C153</f>
        <v>8.24</v>
      </c>
      <c r="H154">
        <f t="shared" ref="H154:J154" si="132">H153</f>
        <v>7.34</v>
      </c>
      <c r="J154">
        <f t="shared" si="132"/>
        <v>6.95</v>
      </c>
      <c r="L154">
        <f t="shared" ref="L154" si="133">L153</f>
        <v>8.4</v>
      </c>
      <c r="M154">
        <f t="shared" ref="M154:N154" si="134">M153</f>
        <v>11.08</v>
      </c>
      <c r="N154">
        <f t="shared" si="134"/>
        <v>12.37</v>
      </c>
      <c r="P154">
        <f t="shared" ref="P154:U154" si="135">P153</f>
        <v>7.52</v>
      </c>
      <c r="Q154">
        <f t="shared" si="135"/>
        <v>9.57</v>
      </c>
      <c r="R154">
        <f t="shared" si="135"/>
        <v>10.199999999999999</v>
      </c>
      <c r="S154">
        <f t="shared" si="135"/>
        <v>8.81</v>
      </c>
      <c r="T154">
        <f t="shared" si="135"/>
        <v>9.5399999999999991</v>
      </c>
      <c r="U154">
        <f t="shared" si="135"/>
        <v>7.97</v>
      </c>
    </row>
    <row r="156" spans="1:38" x14ac:dyDescent="0.25">
      <c r="A156" t="s">
        <v>38</v>
      </c>
      <c r="P156">
        <v>51.9</v>
      </c>
      <c r="Q156">
        <v>50.1</v>
      </c>
      <c r="R156">
        <v>46.1</v>
      </c>
      <c r="S156">
        <v>49</v>
      </c>
      <c r="T156">
        <v>54.1</v>
      </c>
      <c r="U156">
        <v>52.3</v>
      </c>
      <c r="V156">
        <v>52.2</v>
      </c>
      <c r="W156">
        <v>54.5</v>
      </c>
    </row>
    <row r="157" spans="1:38" x14ac:dyDescent="0.25">
      <c r="A157" t="s">
        <v>107</v>
      </c>
      <c r="C157" s="3"/>
      <c r="H157" s="3"/>
      <c r="J157" s="3"/>
      <c r="K157" s="3"/>
      <c r="L157" s="3"/>
      <c r="M157" s="3"/>
      <c r="N157" s="3"/>
      <c r="O157" s="3"/>
      <c r="P157" s="3">
        <f t="shared" ref="P157:U157" si="136">P156/0.179</f>
        <v>289.9441340782123</v>
      </c>
      <c r="Q157" s="3">
        <f t="shared" si="136"/>
        <v>279.8882681564246</v>
      </c>
      <c r="R157" s="3">
        <f t="shared" si="136"/>
        <v>257.54189944134077</v>
      </c>
      <c r="S157" s="3">
        <f t="shared" si="136"/>
        <v>273.74301675977654</v>
      </c>
      <c r="T157" s="3">
        <f t="shared" si="136"/>
        <v>302.23463687150843</v>
      </c>
      <c r="U157" s="3">
        <f t="shared" si="136"/>
        <v>292.17877094972067</v>
      </c>
      <c r="V157" s="3">
        <f t="shared" ref="V157:W157" si="137">V156/0.179</f>
        <v>291.62011173184362</v>
      </c>
      <c r="W157" s="3">
        <f t="shared" si="137"/>
        <v>304.4692737430168</v>
      </c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9" spans="1:38" x14ac:dyDescent="0.25">
      <c r="A159" t="s">
        <v>39</v>
      </c>
      <c r="B159">
        <v>0.4</v>
      </c>
      <c r="C159">
        <v>0.4</v>
      </c>
      <c r="H159">
        <v>0.4</v>
      </c>
      <c r="J159">
        <v>0.4</v>
      </c>
      <c r="L159">
        <v>0.4</v>
      </c>
      <c r="M159">
        <v>0.4</v>
      </c>
      <c r="N159">
        <v>0.2</v>
      </c>
      <c r="O159">
        <v>5.8</v>
      </c>
      <c r="P159">
        <v>0.2</v>
      </c>
      <c r="Q159">
        <v>0.1</v>
      </c>
      <c r="R159">
        <v>0.1</v>
      </c>
      <c r="S159">
        <v>0.2</v>
      </c>
      <c r="T159">
        <v>0.3</v>
      </c>
      <c r="U159">
        <v>0.4</v>
      </c>
      <c r="V159">
        <v>0.4</v>
      </c>
      <c r="W159">
        <v>0.2</v>
      </c>
    </row>
    <row r="160" spans="1:38" x14ac:dyDescent="0.25">
      <c r="A160" t="s">
        <v>88</v>
      </c>
      <c r="C160">
        <f t="shared" ref="C160" si="138">C159</f>
        <v>0.4</v>
      </c>
      <c r="H160">
        <f t="shared" ref="H160:J160" si="139">H159</f>
        <v>0.4</v>
      </c>
      <c r="J160">
        <f t="shared" si="139"/>
        <v>0.4</v>
      </c>
      <c r="L160">
        <f t="shared" ref="L160" si="140">L159</f>
        <v>0.4</v>
      </c>
      <c r="M160">
        <f t="shared" ref="M160:N160" si="141">M159</f>
        <v>0.4</v>
      </c>
      <c r="N160">
        <f t="shared" si="141"/>
        <v>0.2</v>
      </c>
      <c r="O160">
        <f>O159</f>
        <v>5.8</v>
      </c>
      <c r="P160">
        <f t="shared" ref="P160:U160" si="142">P159</f>
        <v>0.2</v>
      </c>
      <c r="Q160">
        <f t="shared" si="142"/>
        <v>0.1</v>
      </c>
      <c r="R160">
        <f t="shared" si="142"/>
        <v>0.1</v>
      </c>
      <c r="S160">
        <f t="shared" si="142"/>
        <v>0.2</v>
      </c>
      <c r="T160">
        <f t="shared" si="142"/>
        <v>0.3</v>
      </c>
      <c r="U160">
        <f t="shared" si="142"/>
        <v>0.4</v>
      </c>
      <c r="V160">
        <f t="shared" ref="V160:W160" si="143">V159</f>
        <v>0.4</v>
      </c>
      <c r="W160">
        <f t="shared" si="143"/>
        <v>0.2</v>
      </c>
    </row>
    <row r="161" spans="1:35" x14ac:dyDescent="0.25">
      <c r="A161" t="s">
        <v>122</v>
      </c>
      <c r="C161">
        <f t="shared" ref="C161" si="144">C159</f>
        <v>0.4</v>
      </c>
      <c r="H161">
        <f t="shared" ref="H161:J161" si="145">H159</f>
        <v>0.4</v>
      </c>
      <c r="J161">
        <f t="shared" si="145"/>
        <v>0.4</v>
      </c>
      <c r="L161">
        <f t="shared" ref="L161" si="146">L159</f>
        <v>0.4</v>
      </c>
      <c r="M161">
        <f t="shared" ref="M161:N161" si="147">M159</f>
        <v>0.4</v>
      </c>
      <c r="N161">
        <f t="shared" si="147"/>
        <v>0.2</v>
      </c>
      <c r="O161">
        <f>O159</f>
        <v>5.8</v>
      </c>
      <c r="P161">
        <f t="shared" ref="P161:U161" si="148">P159</f>
        <v>0.2</v>
      </c>
      <c r="Q161">
        <f t="shared" si="148"/>
        <v>0.1</v>
      </c>
      <c r="R161">
        <f t="shared" si="148"/>
        <v>0.1</v>
      </c>
      <c r="S161">
        <f t="shared" si="148"/>
        <v>0.2</v>
      </c>
      <c r="T161">
        <f t="shared" si="148"/>
        <v>0.3</v>
      </c>
      <c r="U161">
        <f t="shared" si="148"/>
        <v>0.4</v>
      </c>
      <c r="V161">
        <f t="shared" ref="V161:W161" si="149">V159</f>
        <v>0.4</v>
      </c>
      <c r="W161">
        <f t="shared" si="149"/>
        <v>0.2</v>
      </c>
    </row>
    <row r="163" spans="1:35" x14ac:dyDescent="0.25">
      <c r="A163" t="s">
        <v>40</v>
      </c>
      <c r="B163">
        <v>4.8</v>
      </c>
      <c r="C163">
        <v>4.8</v>
      </c>
      <c r="H163">
        <v>4.5999999999999996</v>
      </c>
      <c r="J163">
        <v>4.8</v>
      </c>
      <c r="P163">
        <v>4.5</v>
      </c>
      <c r="Q163">
        <v>4.7</v>
      </c>
      <c r="R163">
        <v>4.7</v>
      </c>
      <c r="S163">
        <v>4.5999999999999996</v>
      </c>
      <c r="T163">
        <v>4.5999999999999996</v>
      </c>
      <c r="U163">
        <v>4.7</v>
      </c>
      <c r="V163">
        <v>4.8</v>
      </c>
      <c r="W163">
        <v>4.7</v>
      </c>
    </row>
    <row r="164" spans="1:35" x14ac:dyDescent="0.25">
      <c r="A164" t="s">
        <v>76</v>
      </c>
      <c r="C164">
        <f t="shared" ref="C164" si="150">C163</f>
        <v>4.8</v>
      </c>
      <c r="H164">
        <f t="shared" ref="H164:J164" si="151">H163</f>
        <v>4.5999999999999996</v>
      </c>
      <c r="J164">
        <f t="shared" si="151"/>
        <v>4.8</v>
      </c>
      <c r="P164">
        <f t="shared" ref="P164:U164" si="152">P163</f>
        <v>4.5</v>
      </c>
      <c r="Q164">
        <f t="shared" si="152"/>
        <v>4.7</v>
      </c>
      <c r="R164">
        <f t="shared" si="152"/>
        <v>4.7</v>
      </c>
      <c r="S164">
        <f t="shared" si="152"/>
        <v>4.5999999999999996</v>
      </c>
      <c r="T164">
        <f t="shared" si="152"/>
        <v>4.5999999999999996</v>
      </c>
      <c r="U164">
        <f t="shared" si="152"/>
        <v>4.7</v>
      </c>
      <c r="V164">
        <f t="shared" ref="V164:W164" si="153">V163</f>
        <v>4.8</v>
      </c>
      <c r="W164">
        <f t="shared" si="153"/>
        <v>4.7</v>
      </c>
    </row>
    <row r="165" spans="1:35" x14ac:dyDescent="0.25">
      <c r="A165" t="s">
        <v>120</v>
      </c>
    </row>
    <row r="166" spans="1:35" x14ac:dyDescent="0.25">
      <c r="A166" t="s">
        <v>125</v>
      </c>
      <c r="C166">
        <f t="shared" ref="C166" si="154">C163</f>
        <v>4.8</v>
      </c>
      <c r="H166">
        <f t="shared" ref="H166:J166" si="155">H163</f>
        <v>4.5999999999999996</v>
      </c>
      <c r="J166">
        <f t="shared" si="155"/>
        <v>4.8</v>
      </c>
      <c r="P166">
        <f t="shared" ref="P166:U166" si="156">P163</f>
        <v>4.5</v>
      </c>
      <c r="Q166">
        <f t="shared" si="156"/>
        <v>4.7</v>
      </c>
      <c r="R166">
        <f t="shared" si="156"/>
        <v>4.7</v>
      </c>
      <c r="S166">
        <f t="shared" si="156"/>
        <v>4.5999999999999996</v>
      </c>
      <c r="T166">
        <f t="shared" si="156"/>
        <v>4.5999999999999996</v>
      </c>
      <c r="U166">
        <f t="shared" si="156"/>
        <v>4.7</v>
      </c>
      <c r="V166">
        <f t="shared" ref="V166:W166" si="157">V163</f>
        <v>4.8</v>
      </c>
      <c r="W166">
        <f t="shared" si="157"/>
        <v>4.7</v>
      </c>
    </row>
    <row r="168" spans="1:35" x14ac:dyDescent="0.25">
      <c r="A168" t="s">
        <v>41</v>
      </c>
      <c r="B168">
        <v>0.6</v>
      </c>
      <c r="C168">
        <v>0.8</v>
      </c>
      <c r="D168">
        <v>0.7</v>
      </c>
      <c r="H168">
        <v>0.5</v>
      </c>
      <c r="J168">
        <v>0.5</v>
      </c>
      <c r="L168">
        <v>0.8</v>
      </c>
      <c r="N168">
        <v>1.1000000000000001</v>
      </c>
      <c r="P168">
        <v>1.4</v>
      </c>
      <c r="Q168">
        <v>1.1000000000000001</v>
      </c>
      <c r="R168">
        <v>1.7</v>
      </c>
      <c r="S168">
        <v>2</v>
      </c>
      <c r="T168">
        <v>1.8</v>
      </c>
      <c r="U168">
        <v>2.4</v>
      </c>
    </row>
    <row r="169" spans="1:35" x14ac:dyDescent="0.25">
      <c r="A169" t="s">
        <v>126</v>
      </c>
      <c r="C169">
        <f t="shared" ref="C169:D169" si="158">C168</f>
        <v>0.8</v>
      </c>
      <c r="D169">
        <f t="shared" si="158"/>
        <v>0.7</v>
      </c>
      <c r="H169">
        <f t="shared" ref="H169:J169" si="159">H168</f>
        <v>0.5</v>
      </c>
      <c r="J169">
        <f t="shared" si="159"/>
        <v>0.5</v>
      </c>
      <c r="L169">
        <f t="shared" ref="L169" si="160">L168</f>
        <v>0.8</v>
      </c>
      <c r="N169">
        <f t="shared" ref="N169" si="161">N168</f>
        <v>1.1000000000000001</v>
      </c>
      <c r="P169">
        <f t="shared" ref="P169:U169" si="162">P168</f>
        <v>1.4</v>
      </c>
      <c r="Q169">
        <f t="shared" si="162"/>
        <v>1.1000000000000001</v>
      </c>
      <c r="R169">
        <f t="shared" si="162"/>
        <v>1.7</v>
      </c>
      <c r="S169">
        <f t="shared" si="162"/>
        <v>2</v>
      </c>
      <c r="T169">
        <f t="shared" si="162"/>
        <v>1.8</v>
      </c>
      <c r="U169">
        <f t="shared" si="162"/>
        <v>2.4</v>
      </c>
    </row>
    <row r="171" spans="1:35" x14ac:dyDescent="0.25">
      <c r="A171" t="s">
        <v>42</v>
      </c>
      <c r="B171">
        <v>2.8</v>
      </c>
      <c r="C171">
        <v>3.5</v>
      </c>
      <c r="D171">
        <v>3.4</v>
      </c>
      <c r="H171">
        <v>2.2000000000000002</v>
      </c>
      <c r="J171">
        <v>2.2999999999999998</v>
      </c>
      <c r="L171">
        <v>3.4</v>
      </c>
      <c r="M171">
        <v>3.5</v>
      </c>
      <c r="N171">
        <v>4.9000000000000004</v>
      </c>
      <c r="P171">
        <v>5.4</v>
      </c>
      <c r="Q171">
        <v>5</v>
      </c>
      <c r="R171">
        <v>7</v>
      </c>
      <c r="S171">
        <v>8.1999999999999993</v>
      </c>
      <c r="T171">
        <v>7.3</v>
      </c>
      <c r="U171">
        <v>10</v>
      </c>
    </row>
    <row r="172" spans="1:35" x14ac:dyDescent="0.25">
      <c r="A172" t="s">
        <v>123</v>
      </c>
      <c r="C172">
        <f t="shared" ref="C172:D172" si="163">C171</f>
        <v>3.5</v>
      </c>
      <c r="D172">
        <f t="shared" si="163"/>
        <v>3.4</v>
      </c>
      <c r="H172">
        <f t="shared" ref="H172:J172" si="164">H171</f>
        <v>2.2000000000000002</v>
      </c>
      <c r="J172">
        <f t="shared" si="164"/>
        <v>2.2999999999999998</v>
      </c>
      <c r="L172">
        <f t="shared" ref="L172" si="165">L171</f>
        <v>3.4</v>
      </c>
      <c r="M172">
        <f t="shared" ref="M172:N172" si="166">M171</f>
        <v>3.5</v>
      </c>
      <c r="N172">
        <f t="shared" si="166"/>
        <v>4.9000000000000004</v>
      </c>
      <c r="P172">
        <f t="shared" ref="P172:U172" si="167">P171</f>
        <v>5.4</v>
      </c>
      <c r="Q172">
        <f t="shared" si="167"/>
        <v>5</v>
      </c>
      <c r="R172">
        <f t="shared" si="167"/>
        <v>7</v>
      </c>
      <c r="S172">
        <f t="shared" si="167"/>
        <v>8.1999999999999993</v>
      </c>
      <c r="T172">
        <f t="shared" si="167"/>
        <v>7.3</v>
      </c>
      <c r="U172">
        <f t="shared" si="167"/>
        <v>10</v>
      </c>
    </row>
    <row r="174" spans="1:35" x14ac:dyDescent="0.25">
      <c r="A174" t="s">
        <v>43</v>
      </c>
      <c r="B174">
        <v>16</v>
      </c>
      <c r="C174">
        <v>26</v>
      </c>
      <c r="H174">
        <v>30</v>
      </c>
      <c r="J174">
        <v>9</v>
      </c>
      <c r="L174">
        <v>10</v>
      </c>
      <c r="M174">
        <v>8</v>
      </c>
      <c r="N174">
        <v>9</v>
      </c>
      <c r="O174">
        <v>6</v>
      </c>
      <c r="P174">
        <v>8</v>
      </c>
      <c r="Q174">
        <v>14</v>
      </c>
      <c r="R174">
        <v>16</v>
      </c>
      <c r="S174">
        <v>20</v>
      </c>
      <c r="T174">
        <v>27</v>
      </c>
      <c r="U174">
        <v>37</v>
      </c>
      <c r="V174">
        <v>26</v>
      </c>
      <c r="W174">
        <v>12</v>
      </c>
      <c r="AH174">
        <v>21</v>
      </c>
      <c r="AI174">
        <v>18</v>
      </c>
    </row>
    <row r="175" spans="1:35" x14ac:dyDescent="0.25">
      <c r="A175" t="s">
        <v>119</v>
      </c>
      <c r="C175">
        <f t="shared" ref="C175" si="168">C174</f>
        <v>26</v>
      </c>
      <c r="H175">
        <f t="shared" ref="H175:J175" si="169">H174</f>
        <v>30</v>
      </c>
      <c r="J175">
        <f t="shared" si="169"/>
        <v>9</v>
      </c>
      <c r="L175">
        <f t="shared" ref="L175" si="170">L174</f>
        <v>10</v>
      </c>
      <c r="M175">
        <f t="shared" ref="M175:N175" si="171">M174</f>
        <v>8</v>
      </c>
      <c r="N175">
        <f t="shared" si="171"/>
        <v>9</v>
      </c>
      <c r="O175">
        <f>O174</f>
        <v>6</v>
      </c>
      <c r="P175">
        <f t="shared" ref="P175:U175" si="172">P174</f>
        <v>8</v>
      </c>
      <c r="Q175">
        <f t="shared" si="172"/>
        <v>14</v>
      </c>
      <c r="R175">
        <f t="shared" si="172"/>
        <v>16</v>
      </c>
      <c r="S175">
        <f t="shared" si="172"/>
        <v>20</v>
      </c>
      <c r="T175">
        <f t="shared" si="172"/>
        <v>27</v>
      </c>
      <c r="U175">
        <f t="shared" si="172"/>
        <v>37</v>
      </c>
      <c r="V175">
        <f t="shared" ref="V175:W175" si="173">V174</f>
        <v>26</v>
      </c>
      <c r="W175">
        <f t="shared" si="173"/>
        <v>12</v>
      </c>
      <c r="AH175">
        <f t="shared" ref="AH175:AI175" si="174">AH174</f>
        <v>21</v>
      </c>
      <c r="AI175">
        <f t="shared" si="174"/>
        <v>18</v>
      </c>
    </row>
    <row r="176" spans="1:35" x14ac:dyDescent="0.25">
      <c r="A176" t="s">
        <v>156</v>
      </c>
      <c r="C176">
        <f t="shared" ref="C176" si="175">C174</f>
        <v>26</v>
      </c>
      <c r="H176">
        <f t="shared" ref="H176:J176" si="176">H174</f>
        <v>30</v>
      </c>
      <c r="J176">
        <f t="shared" si="176"/>
        <v>9</v>
      </c>
      <c r="L176">
        <f t="shared" ref="L176" si="177">L174</f>
        <v>10</v>
      </c>
      <c r="M176">
        <f t="shared" ref="M176:N176" si="178">M174</f>
        <v>8</v>
      </c>
      <c r="N176">
        <f t="shared" si="178"/>
        <v>9</v>
      </c>
      <c r="O176">
        <f>O174</f>
        <v>6</v>
      </c>
      <c r="P176">
        <f t="shared" ref="P176:U176" si="179">P174</f>
        <v>8</v>
      </c>
      <c r="Q176">
        <f t="shared" si="179"/>
        <v>14</v>
      </c>
      <c r="R176">
        <f t="shared" si="179"/>
        <v>16</v>
      </c>
      <c r="S176">
        <f t="shared" si="179"/>
        <v>20</v>
      </c>
      <c r="T176">
        <f t="shared" si="179"/>
        <v>27</v>
      </c>
      <c r="U176">
        <f t="shared" si="179"/>
        <v>37</v>
      </c>
      <c r="V176">
        <f t="shared" ref="V176:W176" si="180">V174</f>
        <v>26</v>
      </c>
      <c r="W176">
        <f t="shared" si="180"/>
        <v>12</v>
      </c>
      <c r="AH176">
        <f t="shared" ref="AH176:AI176" si="181">AH174</f>
        <v>21</v>
      </c>
      <c r="AI176">
        <f t="shared" si="181"/>
        <v>18</v>
      </c>
    </row>
    <row r="178" spans="1:35" x14ac:dyDescent="0.25">
      <c r="A178" t="s">
        <v>44</v>
      </c>
      <c r="B178">
        <v>102</v>
      </c>
      <c r="C178">
        <v>47</v>
      </c>
      <c r="H178">
        <v>72</v>
      </c>
      <c r="I178">
        <v>79</v>
      </c>
      <c r="J178">
        <v>78</v>
      </c>
      <c r="L178">
        <v>87</v>
      </c>
      <c r="M178">
        <v>67</v>
      </c>
      <c r="N178">
        <v>44</v>
      </c>
      <c r="O178">
        <v>21</v>
      </c>
      <c r="P178">
        <v>24</v>
      </c>
      <c r="Q178">
        <v>28</v>
      </c>
      <c r="R178">
        <v>21</v>
      </c>
      <c r="S178">
        <v>23</v>
      </c>
      <c r="T178">
        <v>27</v>
      </c>
      <c r="U178">
        <v>41</v>
      </c>
      <c r="V178">
        <v>36</v>
      </c>
      <c r="W178">
        <v>25</v>
      </c>
      <c r="AH178">
        <v>24</v>
      </c>
      <c r="AI178">
        <v>20</v>
      </c>
    </row>
    <row r="179" spans="1:35" x14ac:dyDescent="0.25">
      <c r="A179" t="s">
        <v>118</v>
      </c>
      <c r="C179">
        <f t="shared" ref="C179" si="182">C178</f>
        <v>47</v>
      </c>
      <c r="H179">
        <f t="shared" ref="H179:J179" si="183">H178</f>
        <v>72</v>
      </c>
      <c r="I179">
        <f t="shared" ref="I179" si="184">I178</f>
        <v>79</v>
      </c>
      <c r="J179">
        <f t="shared" si="183"/>
        <v>78</v>
      </c>
      <c r="L179">
        <f t="shared" ref="L179" si="185">L178</f>
        <v>87</v>
      </c>
      <c r="M179">
        <f t="shared" ref="M179:N179" si="186">M178</f>
        <v>67</v>
      </c>
      <c r="N179">
        <f t="shared" si="186"/>
        <v>44</v>
      </c>
      <c r="O179">
        <f>O178</f>
        <v>21</v>
      </c>
      <c r="P179">
        <f t="shared" ref="P179:U179" si="187">P178</f>
        <v>24</v>
      </c>
      <c r="Q179">
        <f t="shared" si="187"/>
        <v>28</v>
      </c>
      <c r="R179">
        <f t="shared" si="187"/>
        <v>21</v>
      </c>
      <c r="S179">
        <f t="shared" si="187"/>
        <v>23</v>
      </c>
      <c r="T179">
        <f t="shared" si="187"/>
        <v>27</v>
      </c>
      <c r="U179">
        <f t="shared" si="187"/>
        <v>41</v>
      </c>
      <c r="V179">
        <f t="shared" ref="V179:W179" si="188">V178</f>
        <v>36</v>
      </c>
      <c r="W179">
        <f t="shared" si="188"/>
        <v>25</v>
      </c>
      <c r="AH179">
        <f t="shared" ref="AH179:AI179" si="189">AH178</f>
        <v>24</v>
      </c>
      <c r="AI179">
        <f t="shared" si="189"/>
        <v>20</v>
      </c>
    </row>
    <row r="180" spans="1:35" x14ac:dyDescent="0.25">
      <c r="A180" t="s">
        <v>157</v>
      </c>
      <c r="C180">
        <f t="shared" ref="C180" si="190">C178</f>
        <v>47</v>
      </c>
      <c r="H180">
        <f t="shared" ref="H180:J180" si="191">H178</f>
        <v>72</v>
      </c>
      <c r="I180">
        <f t="shared" ref="I180" si="192">I178</f>
        <v>79</v>
      </c>
      <c r="J180">
        <f t="shared" si="191"/>
        <v>78</v>
      </c>
      <c r="L180">
        <f t="shared" ref="L180" si="193">L178</f>
        <v>87</v>
      </c>
      <c r="M180">
        <f t="shared" ref="M180:N180" si="194">M178</f>
        <v>67</v>
      </c>
      <c r="N180">
        <f t="shared" si="194"/>
        <v>44</v>
      </c>
      <c r="O180">
        <f>O178</f>
        <v>21</v>
      </c>
      <c r="P180">
        <f t="shared" ref="P180:U180" si="195">P178</f>
        <v>24</v>
      </c>
      <c r="Q180">
        <f t="shared" si="195"/>
        <v>28</v>
      </c>
      <c r="R180">
        <f t="shared" si="195"/>
        <v>21</v>
      </c>
      <c r="S180">
        <f t="shared" si="195"/>
        <v>23</v>
      </c>
      <c r="T180">
        <f t="shared" si="195"/>
        <v>27</v>
      </c>
      <c r="U180">
        <f t="shared" si="195"/>
        <v>41</v>
      </c>
      <c r="V180">
        <f t="shared" ref="V180:W180" si="196">V178</f>
        <v>36</v>
      </c>
      <c r="W180">
        <f t="shared" si="196"/>
        <v>25</v>
      </c>
      <c r="AH180">
        <f t="shared" ref="AH180:AI180" si="197">AH178</f>
        <v>24</v>
      </c>
      <c r="AI180">
        <f t="shared" si="197"/>
        <v>20</v>
      </c>
    </row>
    <row r="182" spans="1:35" x14ac:dyDescent="0.25">
      <c r="A182" t="s">
        <v>45</v>
      </c>
      <c r="B182">
        <v>47</v>
      </c>
      <c r="C182">
        <v>44</v>
      </c>
      <c r="H182">
        <v>46</v>
      </c>
      <c r="J182">
        <v>47</v>
      </c>
      <c r="L182">
        <v>45</v>
      </c>
      <c r="M182">
        <v>47</v>
      </c>
      <c r="N182">
        <v>48</v>
      </c>
      <c r="P182">
        <v>42</v>
      </c>
      <c r="Q182">
        <v>46</v>
      </c>
      <c r="R182">
        <v>47</v>
      </c>
      <c r="S182">
        <v>45</v>
      </c>
      <c r="T182">
        <v>43</v>
      </c>
      <c r="U182">
        <v>47</v>
      </c>
      <c r="V182">
        <v>47</v>
      </c>
      <c r="W182">
        <v>46</v>
      </c>
    </row>
    <row r="183" spans="1:35" x14ac:dyDescent="0.25">
      <c r="A183" t="s">
        <v>117</v>
      </c>
      <c r="B183">
        <f t="shared" ref="B183:C183" si="198">B182/10</f>
        <v>4.7</v>
      </c>
      <c r="C183">
        <f t="shared" si="198"/>
        <v>4.4000000000000004</v>
      </c>
      <c r="H183">
        <f t="shared" ref="H183:J183" si="199">H182/10</f>
        <v>4.5999999999999996</v>
      </c>
      <c r="J183">
        <f t="shared" si="199"/>
        <v>4.7</v>
      </c>
      <c r="L183">
        <f t="shared" ref="L183" si="200">L182/10</f>
        <v>4.5</v>
      </c>
      <c r="M183">
        <f t="shared" ref="M183:N183" si="201">M182/10</f>
        <v>4.7</v>
      </c>
      <c r="N183">
        <f t="shared" si="201"/>
        <v>4.8</v>
      </c>
      <c r="P183">
        <f t="shared" ref="P183:U183" si="202">P182/10</f>
        <v>4.2</v>
      </c>
      <c r="Q183">
        <f t="shared" si="202"/>
        <v>4.5999999999999996</v>
      </c>
      <c r="R183">
        <f t="shared" si="202"/>
        <v>4.7</v>
      </c>
      <c r="S183">
        <f t="shared" si="202"/>
        <v>4.5</v>
      </c>
      <c r="T183">
        <f t="shared" si="202"/>
        <v>4.3</v>
      </c>
      <c r="U183">
        <f t="shared" si="202"/>
        <v>4.7</v>
      </c>
      <c r="V183">
        <f t="shared" ref="V183:W183" si="203">V182/10</f>
        <v>4.7</v>
      </c>
      <c r="W183">
        <f t="shared" si="203"/>
        <v>4.5999999999999996</v>
      </c>
    </row>
    <row r="184" spans="1:35" x14ac:dyDescent="0.25">
      <c r="A184" t="s">
        <v>121</v>
      </c>
    </row>
    <row r="185" spans="1:35" x14ac:dyDescent="0.25">
      <c r="A185" t="s">
        <v>136</v>
      </c>
      <c r="C185">
        <f t="shared" ref="C185" si="204">C183</f>
        <v>4.4000000000000004</v>
      </c>
      <c r="H185">
        <f t="shared" ref="H185:J185" si="205">H183</f>
        <v>4.5999999999999996</v>
      </c>
      <c r="J185">
        <f t="shared" si="205"/>
        <v>4.7</v>
      </c>
      <c r="L185">
        <f t="shared" ref="L185" si="206">L183</f>
        <v>4.5</v>
      </c>
      <c r="M185">
        <f t="shared" ref="M185:N185" si="207">M183</f>
        <v>4.7</v>
      </c>
      <c r="N185">
        <f t="shared" si="207"/>
        <v>4.8</v>
      </c>
      <c r="P185">
        <f t="shared" ref="P185:U185" si="208">P183</f>
        <v>4.2</v>
      </c>
      <c r="Q185">
        <f t="shared" si="208"/>
        <v>4.5999999999999996</v>
      </c>
      <c r="R185">
        <f t="shared" si="208"/>
        <v>4.7</v>
      </c>
      <c r="S185">
        <f t="shared" si="208"/>
        <v>4.5</v>
      </c>
      <c r="T185">
        <f t="shared" si="208"/>
        <v>4.3</v>
      </c>
      <c r="U185">
        <f t="shared" si="208"/>
        <v>4.7</v>
      </c>
      <c r="V185">
        <f t="shared" ref="V185:W185" si="209">V183</f>
        <v>4.7</v>
      </c>
      <c r="W185">
        <f t="shared" si="209"/>
        <v>4.5999999999999996</v>
      </c>
    </row>
    <row r="186" spans="1:35" x14ac:dyDescent="0.25">
      <c r="A186" t="s">
        <v>231</v>
      </c>
    </row>
    <row r="188" spans="1:35" x14ac:dyDescent="0.25">
      <c r="A188" t="s">
        <v>208</v>
      </c>
      <c r="C188">
        <v>10.1</v>
      </c>
      <c r="H188">
        <v>14.8</v>
      </c>
      <c r="J188">
        <v>16.5</v>
      </c>
      <c r="L188">
        <v>14.6</v>
      </c>
      <c r="M188">
        <v>19.600000000000001</v>
      </c>
      <c r="N188">
        <v>17.899999999999999</v>
      </c>
      <c r="O188">
        <v>9</v>
      </c>
      <c r="P188">
        <v>21.8</v>
      </c>
      <c r="Q188">
        <v>25.1</v>
      </c>
    </row>
    <row r="189" spans="1:35" x14ac:dyDescent="0.25">
      <c r="A189" t="s">
        <v>215</v>
      </c>
      <c r="C189" s="4">
        <f t="shared" ref="C189" si="210">C188/17.1</f>
        <v>0.59064327485380108</v>
      </c>
      <c r="H189" s="4">
        <f t="shared" ref="H189" si="211">H188/17.1</f>
        <v>0.86549707602339176</v>
      </c>
      <c r="J189" s="4">
        <f t="shared" ref="J189" si="212">J188/17.1</f>
        <v>0.96491228070175428</v>
      </c>
      <c r="K189" s="4"/>
      <c r="L189" s="4">
        <f t="shared" ref="L189:Q189" si="213">L188/17.1</f>
        <v>0.85380116959064323</v>
      </c>
      <c r="M189" s="4">
        <f t="shared" si="213"/>
        <v>1.1461988304093567</v>
      </c>
      <c r="N189" s="4">
        <f t="shared" si="213"/>
        <v>1.0467836257309939</v>
      </c>
      <c r="O189" s="4">
        <f t="shared" si="213"/>
        <v>0.52631578947368418</v>
      </c>
      <c r="P189" s="4">
        <f t="shared" si="213"/>
        <v>1.2748538011695907</v>
      </c>
      <c r="Q189" s="4">
        <f t="shared" si="213"/>
        <v>1.4678362573099415</v>
      </c>
    </row>
    <row r="191" spans="1:35" x14ac:dyDescent="0.25">
      <c r="A191" s="44" t="s">
        <v>276</v>
      </c>
      <c r="B191" s="44"/>
      <c r="D191" s="44"/>
      <c r="E191" s="44"/>
      <c r="F191" s="44"/>
      <c r="G191" s="44"/>
      <c r="H191">
        <v>6.4</v>
      </c>
      <c r="I191" s="44"/>
      <c r="P191">
        <v>8</v>
      </c>
    </row>
    <row r="193" spans="1:38" x14ac:dyDescent="0.25">
      <c r="A193" t="s">
        <v>265</v>
      </c>
      <c r="H193">
        <v>8.4</v>
      </c>
      <c r="P193">
        <v>13.8</v>
      </c>
    </row>
    <row r="195" spans="1:38" x14ac:dyDescent="0.25">
      <c r="A195" t="s">
        <v>46</v>
      </c>
      <c r="B195">
        <v>17</v>
      </c>
      <c r="C195">
        <v>17</v>
      </c>
      <c r="H195">
        <v>18</v>
      </c>
      <c r="J195">
        <v>17</v>
      </c>
      <c r="P195">
        <v>11</v>
      </c>
      <c r="Q195">
        <v>15</v>
      </c>
      <c r="R195">
        <v>9</v>
      </c>
      <c r="S195">
        <v>9</v>
      </c>
      <c r="T195">
        <v>11</v>
      </c>
      <c r="U195">
        <v>13</v>
      </c>
      <c r="V195">
        <v>12</v>
      </c>
      <c r="W195">
        <v>9</v>
      </c>
      <c r="AH195">
        <v>11</v>
      </c>
      <c r="AI195">
        <v>12</v>
      </c>
    </row>
    <row r="196" spans="1:38" x14ac:dyDescent="0.25">
      <c r="A196" t="s">
        <v>116</v>
      </c>
      <c r="C196">
        <f t="shared" ref="C196" si="214">C195</f>
        <v>17</v>
      </c>
      <c r="H196">
        <f t="shared" ref="H196:J196" si="215">H195</f>
        <v>18</v>
      </c>
      <c r="J196">
        <f t="shared" si="215"/>
        <v>17</v>
      </c>
      <c r="P196">
        <f t="shared" ref="P196:U196" si="216">P195</f>
        <v>11</v>
      </c>
      <c r="Q196">
        <f t="shared" si="216"/>
        <v>15</v>
      </c>
      <c r="R196">
        <f t="shared" si="216"/>
        <v>9</v>
      </c>
      <c r="S196">
        <f t="shared" si="216"/>
        <v>9</v>
      </c>
      <c r="T196">
        <f t="shared" si="216"/>
        <v>11</v>
      </c>
      <c r="U196">
        <f t="shared" si="216"/>
        <v>13</v>
      </c>
      <c r="V196">
        <f t="shared" ref="V196:W196" si="217">V195</f>
        <v>12</v>
      </c>
      <c r="W196">
        <f t="shared" si="217"/>
        <v>9</v>
      </c>
      <c r="AH196">
        <f t="shared" ref="AH196:AI196" si="218">AH195</f>
        <v>11</v>
      </c>
      <c r="AI196">
        <f t="shared" si="218"/>
        <v>12</v>
      </c>
    </row>
    <row r="197" spans="1:38" x14ac:dyDescent="0.25">
      <c r="A197" t="s">
        <v>120</v>
      </c>
    </row>
    <row r="199" spans="1:38" x14ac:dyDescent="0.25">
      <c r="A199" t="s">
        <v>47</v>
      </c>
      <c r="B199">
        <v>4.8</v>
      </c>
      <c r="C199">
        <v>5</v>
      </c>
      <c r="D199">
        <v>4.5</v>
      </c>
      <c r="H199">
        <v>4.8</v>
      </c>
      <c r="J199">
        <v>4.9000000000000004</v>
      </c>
      <c r="L199">
        <v>5.3</v>
      </c>
      <c r="M199">
        <v>5.3</v>
      </c>
      <c r="N199">
        <v>5.0999999999999996</v>
      </c>
      <c r="O199">
        <v>5.3</v>
      </c>
      <c r="P199">
        <v>5.7</v>
      </c>
      <c r="Q199">
        <v>5.2</v>
      </c>
      <c r="R199">
        <v>5.4</v>
      </c>
      <c r="S199">
        <v>5.5</v>
      </c>
      <c r="T199">
        <v>5.6</v>
      </c>
      <c r="U199">
        <v>5.4</v>
      </c>
      <c r="V199">
        <v>5.5</v>
      </c>
      <c r="W199">
        <v>5.7</v>
      </c>
      <c r="AE199">
        <v>5.0999999999999996</v>
      </c>
      <c r="AF199">
        <v>5.15</v>
      </c>
      <c r="AJ199">
        <v>5.2</v>
      </c>
    </row>
    <row r="200" spans="1:38" x14ac:dyDescent="0.25">
      <c r="A200" t="s">
        <v>75</v>
      </c>
      <c r="B200" s="2">
        <f t="shared" ref="B200:C200" si="219">B199/0.0555</f>
        <v>86.486486486486484</v>
      </c>
      <c r="C200" s="2">
        <f t="shared" si="219"/>
        <v>90.090090090090087</v>
      </c>
      <c r="D200" s="2">
        <f t="shared" ref="D200" si="220">D199/0.0555</f>
        <v>81.081081081081081</v>
      </c>
      <c r="H200" s="2">
        <f t="shared" ref="H200:J200" si="221">H199/0.0555</f>
        <v>86.486486486486484</v>
      </c>
      <c r="J200" s="2">
        <f t="shared" si="221"/>
        <v>88.2882882882883</v>
      </c>
      <c r="K200" s="2"/>
      <c r="L200" s="2">
        <f t="shared" ref="L200" si="222">L199/0.0555</f>
        <v>95.49549549549549</v>
      </c>
      <c r="M200" s="2">
        <f t="shared" ref="M200:N200" si="223">M199/0.0555</f>
        <v>95.49549549549549</v>
      </c>
      <c r="N200" s="2">
        <f t="shared" si="223"/>
        <v>91.891891891891888</v>
      </c>
      <c r="O200" s="2">
        <f>O199/0.0555</f>
        <v>95.49549549549549</v>
      </c>
      <c r="P200" s="2">
        <f t="shared" ref="P200:U200" si="224">P199/0.0555</f>
        <v>102.70270270270271</v>
      </c>
      <c r="Q200" s="2">
        <f t="shared" si="224"/>
        <v>93.693693693693689</v>
      </c>
      <c r="R200" s="2">
        <f t="shared" si="224"/>
        <v>97.297297297297305</v>
      </c>
      <c r="S200" s="2">
        <f t="shared" si="224"/>
        <v>99.099099099099092</v>
      </c>
      <c r="T200" s="2">
        <f t="shared" si="224"/>
        <v>100.90090090090089</v>
      </c>
      <c r="U200" s="2">
        <f t="shared" si="224"/>
        <v>97.297297297297305</v>
      </c>
      <c r="V200" s="2">
        <f t="shared" ref="V200:W200" si="225">V199/0.0555</f>
        <v>99.099099099099092</v>
      </c>
      <c r="W200" s="2">
        <f t="shared" si="225"/>
        <v>102.70270270270271</v>
      </c>
      <c r="X200" s="2"/>
      <c r="Y200" s="2"/>
      <c r="Z200" s="2"/>
      <c r="AA200" s="2"/>
      <c r="AB200" s="2"/>
      <c r="AC200" s="2"/>
      <c r="AD200" s="2"/>
      <c r="AE200" s="2"/>
      <c r="AF200" s="2">
        <f t="shared" ref="AF200" si="226">AF199/0.0555</f>
        <v>92.792792792792795</v>
      </c>
      <c r="AG200" s="2"/>
      <c r="AH200" s="2"/>
      <c r="AI200" s="2"/>
      <c r="AJ200" s="2">
        <f t="shared" ref="AJ200" si="227">AJ199/0.0555</f>
        <v>93.693693693693689</v>
      </c>
      <c r="AK200" s="2"/>
      <c r="AL200" s="2"/>
    </row>
    <row r="201" spans="1:38" x14ac:dyDescent="0.25">
      <c r="A201" t="s">
        <v>120</v>
      </c>
      <c r="C201" s="2"/>
      <c r="H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5">
      <c r="A202" t="s">
        <v>124</v>
      </c>
      <c r="C202" s="2">
        <f t="shared" ref="C202" si="228">C200</f>
        <v>90.090090090090087</v>
      </c>
      <c r="H202" s="2">
        <f t="shared" ref="H202:J202" si="229">H200</f>
        <v>86.486486486486484</v>
      </c>
      <c r="J202" s="2">
        <f t="shared" si="229"/>
        <v>88.2882882882883</v>
      </c>
      <c r="K202" s="2"/>
      <c r="L202" s="2">
        <f t="shared" ref="L202" si="230">L200</f>
        <v>95.49549549549549</v>
      </c>
      <c r="M202" s="2">
        <f t="shared" ref="M202:N202" si="231">M200</f>
        <v>95.49549549549549</v>
      </c>
      <c r="N202" s="2">
        <f t="shared" si="231"/>
        <v>91.891891891891888</v>
      </c>
      <c r="O202" s="2">
        <f>O200</f>
        <v>95.49549549549549</v>
      </c>
      <c r="P202" s="2">
        <f t="shared" ref="P202:U202" si="232">P200</f>
        <v>102.70270270270271</v>
      </c>
      <c r="Q202" s="2">
        <f t="shared" si="232"/>
        <v>93.693693693693689</v>
      </c>
      <c r="R202" s="2">
        <f t="shared" si="232"/>
        <v>97.297297297297305</v>
      </c>
      <c r="S202" s="2">
        <f t="shared" si="232"/>
        <v>99.099099099099092</v>
      </c>
      <c r="T202" s="2">
        <f t="shared" si="232"/>
        <v>100.90090090090089</v>
      </c>
      <c r="U202" s="2">
        <f t="shared" si="232"/>
        <v>97.297297297297305</v>
      </c>
      <c r="V202" s="2">
        <f t="shared" ref="V202:W202" si="233">V200</f>
        <v>99.099099099099092</v>
      </c>
      <c r="W202" s="2">
        <f t="shared" si="233"/>
        <v>102.70270270270271</v>
      </c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5">
      <c r="A203" t="s">
        <v>232</v>
      </c>
      <c r="C203" s="2"/>
      <c r="H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5" spans="1:38" x14ac:dyDescent="0.25">
      <c r="A205" t="s">
        <v>48</v>
      </c>
      <c r="P205">
        <v>108</v>
      </c>
      <c r="Q205">
        <v>215</v>
      </c>
      <c r="R205">
        <v>98</v>
      </c>
      <c r="S205">
        <v>91</v>
      </c>
      <c r="T205">
        <v>181</v>
      </c>
      <c r="U205">
        <v>289</v>
      </c>
      <c r="V205">
        <v>168</v>
      </c>
    </row>
    <row r="206" spans="1:38" x14ac:dyDescent="0.25">
      <c r="A206" t="s">
        <v>103</v>
      </c>
      <c r="P206">
        <f>P205</f>
        <v>108</v>
      </c>
      <c r="Q206">
        <f t="shared" ref="Q206:V206" si="234">Q205</f>
        <v>215</v>
      </c>
      <c r="R206">
        <f t="shared" si="234"/>
        <v>98</v>
      </c>
      <c r="S206">
        <f t="shared" si="234"/>
        <v>91</v>
      </c>
      <c r="T206">
        <f t="shared" si="234"/>
        <v>181</v>
      </c>
      <c r="U206">
        <f t="shared" si="234"/>
        <v>289</v>
      </c>
      <c r="V206">
        <f t="shared" si="234"/>
        <v>168</v>
      </c>
    </row>
    <row r="208" spans="1:38" x14ac:dyDescent="0.25">
      <c r="A208" t="s">
        <v>49</v>
      </c>
      <c r="B208">
        <v>78</v>
      </c>
      <c r="C208">
        <v>81</v>
      </c>
      <c r="H208">
        <v>84</v>
      </c>
      <c r="J208">
        <v>81</v>
      </c>
      <c r="L208">
        <v>73</v>
      </c>
      <c r="M208">
        <v>92</v>
      </c>
      <c r="N208">
        <v>99</v>
      </c>
      <c r="O208">
        <v>86</v>
      </c>
      <c r="P208">
        <v>96</v>
      </c>
      <c r="Q208">
        <v>90</v>
      </c>
      <c r="R208">
        <v>91</v>
      </c>
      <c r="S208">
        <v>84</v>
      </c>
      <c r="T208">
        <v>83</v>
      </c>
      <c r="U208">
        <v>82</v>
      </c>
    </row>
    <row r="209" spans="1:38" x14ac:dyDescent="0.25">
      <c r="A209" t="s">
        <v>155</v>
      </c>
      <c r="B209" s="4">
        <f t="shared" ref="B209:C209" si="235">B208/88.4</f>
        <v>0.88235294117647056</v>
      </c>
      <c r="C209" s="4">
        <f t="shared" si="235"/>
        <v>0.91628959276018096</v>
      </c>
      <c r="H209" s="4">
        <f t="shared" ref="H209:J209" si="236">H208/88.4</f>
        <v>0.95022624434389136</v>
      </c>
      <c r="J209" s="4">
        <f t="shared" si="236"/>
        <v>0.91628959276018096</v>
      </c>
      <c r="K209" s="4"/>
      <c r="L209" s="4">
        <f t="shared" ref="L209" si="237">L208/88.4</f>
        <v>0.82579185520361986</v>
      </c>
      <c r="M209" s="4">
        <f t="shared" ref="M209:N209" si="238">M208/88.4</f>
        <v>1.0407239819004523</v>
      </c>
      <c r="N209" s="4">
        <f t="shared" si="238"/>
        <v>1.1199095022624435</v>
      </c>
      <c r="O209" s="4">
        <f>O208/88.4</f>
        <v>0.97285067873303166</v>
      </c>
      <c r="P209" s="4">
        <f t="shared" ref="P209:U209" si="239">P208/88.4</f>
        <v>1.0859728506787329</v>
      </c>
      <c r="Q209" s="4">
        <f t="shared" si="239"/>
        <v>1.0180995475113122</v>
      </c>
      <c r="R209" s="4">
        <f t="shared" si="239"/>
        <v>1.0294117647058822</v>
      </c>
      <c r="S209" s="4">
        <f t="shared" si="239"/>
        <v>0.95022624434389136</v>
      </c>
      <c r="T209" s="4">
        <f t="shared" si="239"/>
        <v>0.93891402714932126</v>
      </c>
      <c r="U209" s="4">
        <f t="shared" si="239"/>
        <v>0.92760180995475106</v>
      </c>
      <c r="AL209" s="4"/>
    </row>
    <row r="210" spans="1:38" x14ac:dyDescent="0.25">
      <c r="A210" t="s">
        <v>205</v>
      </c>
      <c r="C210" s="4"/>
      <c r="H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AL210" s="4"/>
    </row>
    <row r="212" spans="1:38" x14ac:dyDescent="0.25">
      <c r="A212" t="s">
        <v>330</v>
      </c>
      <c r="B212">
        <v>6.2</v>
      </c>
      <c r="C212">
        <v>5.4</v>
      </c>
      <c r="H212">
        <v>5.5</v>
      </c>
      <c r="J212">
        <v>5</v>
      </c>
      <c r="L212">
        <v>4.0999999999999996</v>
      </c>
      <c r="M212">
        <v>5.7</v>
      </c>
      <c r="N212">
        <v>6.6</v>
      </c>
      <c r="O212">
        <v>4.4000000000000004</v>
      </c>
      <c r="P212">
        <v>4</v>
      </c>
      <c r="Q212">
        <v>4.5</v>
      </c>
      <c r="R212">
        <v>5.2</v>
      </c>
      <c r="S212">
        <v>5.7</v>
      </c>
      <c r="T212">
        <v>3.7</v>
      </c>
      <c r="U212">
        <v>7.8</v>
      </c>
    </row>
    <row r="213" spans="1:38" x14ac:dyDescent="0.25">
      <c r="A213" t="s">
        <v>154</v>
      </c>
      <c r="B213" s="2">
        <f>B212/0.166/2.1428</f>
        <v>17.430183680400155</v>
      </c>
      <c r="C213" s="2">
        <f>C212/0.166/2.1428</f>
        <v>15.181127721638843</v>
      </c>
      <c r="H213" s="2">
        <f>H212/0.166/2.1428</f>
        <v>15.462259716484006</v>
      </c>
      <c r="J213" s="2">
        <f>J212/0.166/2.1428</f>
        <v>14.056599742258188</v>
      </c>
      <c r="K213" s="2"/>
      <c r="L213" s="2">
        <f>L212/0.166/2.1428</f>
        <v>11.526411788651714</v>
      </c>
      <c r="M213" s="2">
        <f>M212/0.166/2.1428</f>
        <v>16.024523706174332</v>
      </c>
      <c r="N213" s="2">
        <f>N212/0.166/2.1428</f>
        <v>18.554711659780807</v>
      </c>
      <c r="O213" s="2">
        <f t="shared" ref="O213:U213" si="240">O212/0.166/2.1428</f>
        <v>12.369807773187205</v>
      </c>
      <c r="P213" s="2">
        <f t="shared" si="240"/>
        <v>11.245279793806549</v>
      </c>
      <c r="Q213" s="2">
        <f t="shared" si="240"/>
        <v>12.650939768032369</v>
      </c>
      <c r="R213" s="2">
        <f t="shared" si="240"/>
        <v>14.618863731948515</v>
      </c>
      <c r="S213" s="2">
        <f t="shared" si="240"/>
        <v>16.024523706174332</v>
      </c>
      <c r="T213" s="2">
        <f t="shared" si="240"/>
        <v>10.401883809271059</v>
      </c>
      <c r="U213" s="2">
        <f t="shared" si="240"/>
        <v>21.928295597922773</v>
      </c>
      <c r="AL213" s="2"/>
    </row>
    <row r="215" spans="1:38" x14ac:dyDescent="0.25">
      <c r="A215" s="44" t="s">
        <v>277</v>
      </c>
      <c r="B215" s="44">
        <v>228</v>
      </c>
      <c r="D215" s="44"/>
      <c r="E215" s="44"/>
      <c r="F215" s="44"/>
      <c r="G215" s="44"/>
      <c r="I215" s="44"/>
      <c r="O215">
        <v>258</v>
      </c>
      <c r="P215">
        <v>279</v>
      </c>
    </row>
    <row r="216" spans="1:38" x14ac:dyDescent="0.25">
      <c r="A216" s="44" t="s">
        <v>442</v>
      </c>
      <c r="B216">
        <f t="shared" ref="B216" si="241">B215/59.48</f>
        <v>3.8332212508406189</v>
      </c>
      <c r="O216">
        <f t="shared" ref="O216:P216" si="242">O215/59.48</f>
        <v>4.3375924680564895</v>
      </c>
      <c r="P216">
        <f t="shared" si="242"/>
        <v>4.6906523201075991</v>
      </c>
    </row>
    <row r="218" spans="1:38" x14ac:dyDescent="0.25">
      <c r="A218" t="s">
        <v>209</v>
      </c>
      <c r="C218">
        <v>69</v>
      </c>
      <c r="H218">
        <v>68</v>
      </c>
      <c r="J218">
        <v>68</v>
      </c>
      <c r="L218">
        <v>66</v>
      </c>
      <c r="M218">
        <v>71</v>
      </c>
      <c r="N218">
        <v>74</v>
      </c>
      <c r="O218">
        <v>78</v>
      </c>
      <c r="P218">
        <v>68</v>
      </c>
      <c r="Q218">
        <v>69</v>
      </c>
    </row>
    <row r="219" spans="1:38" x14ac:dyDescent="0.25">
      <c r="A219" t="s">
        <v>214</v>
      </c>
      <c r="C219">
        <f t="shared" ref="C219" si="243">C218/10</f>
        <v>6.9</v>
      </c>
      <c r="H219">
        <f t="shared" ref="H219" si="244">H218/10</f>
        <v>6.8</v>
      </c>
      <c r="J219">
        <f t="shared" ref="J219" si="245">J218/10</f>
        <v>6.8</v>
      </c>
      <c r="L219">
        <f t="shared" ref="L219:Q219" si="246">L218/10</f>
        <v>6.6</v>
      </c>
      <c r="M219">
        <f t="shared" si="246"/>
        <v>7.1</v>
      </c>
      <c r="N219">
        <f t="shared" si="246"/>
        <v>7.4</v>
      </c>
      <c r="O219">
        <f t="shared" si="246"/>
        <v>7.8</v>
      </c>
      <c r="P219">
        <f t="shared" si="246"/>
        <v>6.8</v>
      </c>
      <c r="Q219">
        <f t="shared" si="246"/>
        <v>6.9</v>
      </c>
    </row>
    <row r="221" spans="1:38" x14ac:dyDescent="0.25">
      <c r="A221" t="s">
        <v>50</v>
      </c>
      <c r="B221">
        <v>0.34</v>
      </c>
      <c r="C221">
        <v>0.48</v>
      </c>
      <c r="H221">
        <v>0.36</v>
      </c>
      <c r="J221">
        <v>0.37</v>
      </c>
      <c r="L221">
        <v>0.34</v>
      </c>
      <c r="M221">
        <v>0.37</v>
      </c>
      <c r="N221">
        <v>0.38</v>
      </c>
      <c r="P221">
        <v>0.34</v>
      </c>
      <c r="Q221">
        <v>0.48</v>
      </c>
      <c r="R221">
        <v>0.57999999999999996</v>
      </c>
      <c r="S221">
        <v>0.44</v>
      </c>
      <c r="T221">
        <v>0.43</v>
      </c>
      <c r="U221">
        <v>0.53</v>
      </c>
      <c r="V221">
        <v>0.48</v>
      </c>
      <c r="W221">
        <v>0.61</v>
      </c>
      <c r="AJ221">
        <v>1.03</v>
      </c>
    </row>
    <row r="222" spans="1:38" x14ac:dyDescent="0.25">
      <c r="A222" t="s">
        <v>77</v>
      </c>
      <c r="B222" s="3">
        <f t="shared" ref="B222:C222" si="247">B221/0.0113</f>
        <v>30.088495575221241</v>
      </c>
      <c r="C222" s="3">
        <f t="shared" si="247"/>
        <v>42.477876106194692</v>
      </c>
      <c r="H222" s="3">
        <f t="shared" ref="H222:J222" si="248">H221/0.0113</f>
        <v>31.858407079646017</v>
      </c>
      <c r="J222" s="3">
        <f t="shared" si="248"/>
        <v>32.743362831858406</v>
      </c>
      <c r="K222" s="3"/>
      <c r="L222" s="3">
        <f t="shared" ref="L222" si="249">L221/0.0113</f>
        <v>30.088495575221241</v>
      </c>
      <c r="M222" s="3">
        <f t="shared" ref="M222:N222" si="250">M221/0.0113</f>
        <v>32.743362831858406</v>
      </c>
      <c r="N222" s="3">
        <f t="shared" si="250"/>
        <v>33.628318584070797</v>
      </c>
      <c r="O222" s="3"/>
      <c r="P222" s="3">
        <f t="shared" ref="P222:U222" si="251">P221/0.0113</f>
        <v>30.088495575221241</v>
      </c>
      <c r="Q222" s="3">
        <f t="shared" si="251"/>
        <v>42.477876106194692</v>
      </c>
      <c r="R222" s="3">
        <f t="shared" si="251"/>
        <v>51.32743362831858</v>
      </c>
      <c r="S222" s="3">
        <f t="shared" si="251"/>
        <v>38.938053097345133</v>
      </c>
      <c r="T222" s="3">
        <f t="shared" si="251"/>
        <v>38.053097345132748</v>
      </c>
      <c r="U222" s="3">
        <f t="shared" si="251"/>
        <v>46.902654867256643</v>
      </c>
      <c r="V222" s="3">
        <f t="shared" ref="V222:W222" si="252">V221/0.0113</f>
        <v>42.477876106194692</v>
      </c>
      <c r="W222" s="3">
        <f t="shared" si="252"/>
        <v>53.982300884955755</v>
      </c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>
        <f t="shared" ref="AJ222" si="253">AJ221/0.0113</f>
        <v>91.150442477876112</v>
      </c>
      <c r="AK222" s="3"/>
      <c r="AL222" s="3"/>
    </row>
    <row r="223" spans="1:38" x14ac:dyDescent="0.25">
      <c r="A223" t="s">
        <v>120</v>
      </c>
      <c r="C223" s="3"/>
      <c r="H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spans="1:38" x14ac:dyDescent="0.25">
      <c r="A224" t="s">
        <v>139</v>
      </c>
      <c r="C224" s="3">
        <f t="shared" ref="C224" si="254">C222</f>
        <v>42.477876106194692</v>
      </c>
      <c r="H224" s="3">
        <f t="shared" ref="H224:J224" si="255">H222</f>
        <v>31.858407079646017</v>
      </c>
      <c r="J224" s="3">
        <f t="shared" si="255"/>
        <v>32.743362831858406</v>
      </c>
      <c r="K224" s="3"/>
      <c r="L224" s="3">
        <f t="shared" ref="L224" si="256">L222</f>
        <v>30.088495575221241</v>
      </c>
      <c r="M224" s="3">
        <f t="shared" ref="M224:N224" si="257">M222</f>
        <v>32.743362831858406</v>
      </c>
      <c r="N224" s="3">
        <f t="shared" si="257"/>
        <v>33.628318584070797</v>
      </c>
      <c r="O224" s="3"/>
      <c r="P224" s="3">
        <f t="shared" ref="P224:U224" si="258">P222</f>
        <v>30.088495575221241</v>
      </c>
      <c r="Q224" s="3">
        <f t="shared" si="258"/>
        <v>42.477876106194692</v>
      </c>
      <c r="R224" s="3">
        <f t="shared" si="258"/>
        <v>51.32743362831858</v>
      </c>
      <c r="S224" s="3">
        <f t="shared" si="258"/>
        <v>38.938053097345133</v>
      </c>
      <c r="T224" s="3">
        <f t="shared" si="258"/>
        <v>38.053097345132748</v>
      </c>
      <c r="U224" s="3">
        <f t="shared" si="258"/>
        <v>46.902654867256643</v>
      </c>
      <c r="V224" s="3">
        <f t="shared" ref="V224:W224" si="259">V222</f>
        <v>42.477876106194692</v>
      </c>
      <c r="W224" s="3">
        <f t="shared" si="259"/>
        <v>53.982300884955755</v>
      </c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>
        <f t="shared" ref="AJ224" si="260">AJ222</f>
        <v>91.150442477876112</v>
      </c>
      <c r="AK224" s="3"/>
      <c r="AL224" s="3"/>
    </row>
    <row r="225" spans="1:38" x14ac:dyDescent="0.25">
      <c r="C225" s="3"/>
      <c r="H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spans="1:38" x14ac:dyDescent="0.25">
      <c r="A226" t="s">
        <v>140</v>
      </c>
      <c r="C226" s="4">
        <f t="shared" ref="C226" si="261">C224/C234</f>
        <v>0.78026736961024301</v>
      </c>
      <c r="H226" s="4">
        <f t="shared" ref="H226:J226" si="262">H224/H234</f>
        <v>0.4436197544961461</v>
      </c>
      <c r="J226" s="4">
        <f t="shared" si="262"/>
        <v>0.44634373544480666</v>
      </c>
      <c r="K226" s="4"/>
      <c r="L226" s="4">
        <f t="shared" ref="L226" si="263">L224/L234</f>
        <v>0.3996369412298616</v>
      </c>
      <c r="M226" s="4">
        <f t="shared" ref="M226:N226" si="264">M224/M234</f>
        <v>0.35782831111608976</v>
      </c>
      <c r="N226" s="4">
        <f t="shared" si="264"/>
        <v>0.50934119960668633</v>
      </c>
      <c r="O226" s="4"/>
      <c r="P226" s="4">
        <f t="shared" ref="P226:U226" si="265">P224/P234</f>
        <v>0.43535867899342462</v>
      </c>
      <c r="Q226" s="4">
        <f t="shared" si="265"/>
        <v>0.66677393403057128</v>
      </c>
      <c r="R226" s="4">
        <f t="shared" si="265"/>
        <v>0.82060526603299444</v>
      </c>
      <c r="S226" s="4">
        <f t="shared" si="265"/>
        <v>0.71020815156425277</v>
      </c>
      <c r="T226" s="4">
        <f t="shared" si="265"/>
        <v>0.57300884955752218</v>
      </c>
      <c r="U226" s="4">
        <f t="shared" si="265"/>
        <v>0.72741243177362103</v>
      </c>
      <c r="V226" s="4">
        <f t="shared" ref="V226:W226" si="266">V224/V234</f>
        <v>0.70979160719383383</v>
      </c>
      <c r="W226" s="4">
        <f t="shared" si="266"/>
        <v>1.1848657567121645</v>
      </c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</row>
    <row r="228" spans="1:38" x14ac:dyDescent="0.25">
      <c r="A228" t="s">
        <v>51</v>
      </c>
      <c r="B228">
        <v>3.76</v>
      </c>
      <c r="C228">
        <v>3.65</v>
      </c>
      <c r="H228">
        <v>3.68</v>
      </c>
      <c r="J228">
        <v>4.18</v>
      </c>
      <c r="L228">
        <v>3.91</v>
      </c>
      <c r="M228">
        <v>4.1500000000000004</v>
      </c>
      <c r="N228">
        <v>3.7</v>
      </c>
      <c r="P228">
        <v>3.86</v>
      </c>
      <c r="Q228">
        <v>3.41</v>
      </c>
      <c r="R228">
        <v>3.73</v>
      </c>
      <c r="S228">
        <v>3.63</v>
      </c>
      <c r="T228">
        <v>3.73</v>
      </c>
      <c r="U228">
        <v>3.75</v>
      </c>
      <c r="V228">
        <v>3.41</v>
      </c>
      <c r="W228">
        <v>3.06</v>
      </c>
      <c r="AE228">
        <v>2.69</v>
      </c>
      <c r="AJ228">
        <v>5.0999999999999996</v>
      </c>
    </row>
    <row r="229" spans="1:38" x14ac:dyDescent="0.25">
      <c r="A229" t="s">
        <v>78</v>
      </c>
      <c r="B229" s="3">
        <f t="shared" ref="B229:C229" si="267">B228/0.0259</f>
        <v>145.17374517374517</v>
      </c>
      <c r="C229" s="3">
        <f t="shared" si="267"/>
        <v>140.92664092664091</v>
      </c>
      <c r="H229" s="3">
        <f t="shared" ref="H229:J229" si="268">H228/0.0259</f>
        <v>142.0849420849421</v>
      </c>
      <c r="J229" s="3">
        <f t="shared" si="268"/>
        <v>161.38996138996137</v>
      </c>
      <c r="K229" s="3"/>
      <c r="L229" s="3">
        <f t="shared" ref="L229" si="269">L228/0.0259</f>
        <v>150.96525096525099</v>
      </c>
      <c r="M229" s="3">
        <f t="shared" ref="M229" si="270">M228/0.0259</f>
        <v>160.23166023166024</v>
      </c>
      <c r="N229" s="3">
        <f t="shared" ref="N229:P229" si="271">N228/0.0259</f>
        <v>142.85714285714286</v>
      </c>
      <c r="O229" s="3"/>
      <c r="P229" s="3">
        <f t="shared" si="271"/>
        <v>149.03474903474904</v>
      </c>
      <c r="Q229" s="3">
        <f t="shared" ref="Q229" si="272">Q228/0.0259</f>
        <v>131.66023166023166</v>
      </c>
      <c r="R229" s="3">
        <f t="shared" ref="R229" si="273">R228/0.0259</f>
        <v>144.01544401544402</v>
      </c>
      <c r="S229" s="3">
        <f t="shared" ref="S229:W229" si="274">S228/0.0259</f>
        <v>140.15444015444015</v>
      </c>
      <c r="T229" s="3">
        <f t="shared" si="274"/>
        <v>144.01544401544402</v>
      </c>
      <c r="U229" s="3">
        <f t="shared" si="274"/>
        <v>144.78764478764478</v>
      </c>
      <c r="V229" s="3">
        <f t="shared" si="274"/>
        <v>131.66023166023166</v>
      </c>
      <c r="W229" s="3">
        <f t="shared" si="274"/>
        <v>118.14671814671816</v>
      </c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>
        <f t="shared" ref="AJ229" si="275">AJ228/0.0259</f>
        <v>196.9111969111969</v>
      </c>
      <c r="AK229" s="3"/>
      <c r="AL229" s="3"/>
    </row>
    <row r="230" spans="1:38" x14ac:dyDescent="0.25">
      <c r="A230" t="s">
        <v>137</v>
      </c>
      <c r="C230" s="3">
        <f t="shared" ref="C230" si="276">C229</f>
        <v>140.92664092664091</v>
      </c>
      <c r="H230" s="3">
        <f t="shared" ref="H230:J230" si="277">H229</f>
        <v>142.0849420849421</v>
      </c>
      <c r="J230" s="3">
        <f t="shared" si="277"/>
        <v>161.38996138996137</v>
      </c>
      <c r="K230" s="3"/>
      <c r="L230" s="3">
        <f t="shared" ref="L230" si="278">L229</f>
        <v>150.96525096525099</v>
      </c>
      <c r="M230" s="3">
        <f t="shared" ref="M230:N230" si="279">M229</f>
        <v>160.23166023166024</v>
      </c>
      <c r="N230" s="3">
        <f t="shared" si="279"/>
        <v>142.85714285714286</v>
      </c>
      <c r="O230" s="3"/>
      <c r="P230" s="3">
        <f t="shared" ref="P230:U230" si="280">P229</f>
        <v>149.03474903474904</v>
      </c>
      <c r="Q230" s="3">
        <f t="shared" si="280"/>
        <v>131.66023166023166</v>
      </c>
      <c r="R230" s="3">
        <f t="shared" si="280"/>
        <v>144.01544401544402</v>
      </c>
      <c r="S230" s="3">
        <f t="shared" si="280"/>
        <v>140.15444015444015</v>
      </c>
      <c r="T230" s="3">
        <f t="shared" si="280"/>
        <v>144.01544401544402</v>
      </c>
      <c r="U230" s="3">
        <f t="shared" si="280"/>
        <v>144.78764478764478</v>
      </c>
      <c r="V230" s="3">
        <f t="shared" ref="V230:W230" si="281">V229</f>
        <v>131.66023166023166</v>
      </c>
      <c r="W230" s="3">
        <f t="shared" si="281"/>
        <v>118.14671814671816</v>
      </c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>
        <f t="shared" ref="AJ230" si="282">AJ229</f>
        <v>196.9111969111969</v>
      </c>
      <c r="AK230" s="3"/>
      <c r="AL230" s="3"/>
    </row>
    <row r="232" spans="1:38" x14ac:dyDescent="0.25">
      <c r="A232" t="s">
        <v>52</v>
      </c>
      <c r="B232">
        <v>2.0299999999999998</v>
      </c>
      <c r="C232">
        <v>1.41</v>
      </c>
      <c r="H232">
        <v>1.86</v>
      </c>
      <c r="J232">
        <v>1.9</v>
      </c>
      <c r="L232">
        <v>1.95</v>
      </c>
      <c r="M232">
        <v>2.37</v>
      </c>
      <c r="N232">
        <v>1.71</v>
      </c>
      <c r="P232">
        <v>1.79</v>
      </c>
      <c r="Q232">
        <v>1.65</v>
      </c>
      <c r="R232">
        <v>1.62</v>
      </c>
      <c r="S232">
        <v>1.42</v>
      </c>
      <c r="T232">
        <v>1.72</v>
      </c>
      <c r="U232">
        <v>1.67</v>
      </c>
      <c r="V232">
        <v>1.55</v>
      </c>
      <c r="W232">
        <v>1.18</v>
      </c>
      <c r="AJ232">
        <v>1.7</v>
      </c>
    </row>
    <row r="233" spans="1:38" x14ac:dyDescent="0.25">
      <c r="A233" t="s">
        <v>79</v>
      </c>
      <c r="B233" s="3">
        <f t="shared" ref="B233:C233" si="283">B232/0.0259</f>
        <v>78.378378378378372</v>
      </c>
      <c r="C233" s="3">
        <f t="shared" si="283"/>
        <v>54.440154440154437</v>
      </c>
      <c r="H233" s="3">
        <f t="shared" ref="H233:J233" si="284">H232/0.0259</f>
        <v>71.814671814671826</v>
      </c>
      <c r="J233" s="3">
        <f t="shared" si="284"/>
        <v>73.359073359073363</v>
      </c>
      <c r="K233" s="3"/>
      <c r="L233" s="3">
        <f t="shared" ref="L233" si="285">L232/0.0259</f>
        <v>75.289575289575296</v>
      </c>
      <c r="M233" s="3">
        <f t="shared" ref="M233" si="286">M232/0.0259</f>
        <v>91.505791505791507</v>
      </c>
      <c r="N233" s="3">
        <f t="shared" ref="N233:P233" si="287">N232/0.0259</f>
        <v>66.023166023166027</v>
      </c>
      <c r="O233" s="3"/>
      <c r="P233" s="3">
        <f t="shared" si="287"/>
        <v>69.111969111969117</v>
      </c>
      <c r="Q233" s="3">
        <f t="shared" ref="Q233" si="288">Q232/0.0259</f>
        <v>63.706563706563706</v>
      </c>
      <c r="R233" s="3">
        <f t="shared" ref="R233" si="289">R232/0.0259</f>
        <v>62.548262548262556</v>
      </c>
      <c r="S233" s="3">
        <f t="shared" ref="S233:W233" si="290">S232/0.0259</f>
        <v>54.826254826254825</v>
      </c>
      <c r="T233" s="3">
        <f t="shared" si="290"/>
        <v>66.409266409266408</v>
      </c>
      <c r="U233" s="3">
        <f t="shared" si="290"/>
        <v>64.478764478764475</v>
      </c>
      <c r="V233" s="3">
        <f t="shared" si="290"/>
        <v>59.845559845559848</v>
      </c>
      <c r="W233" s="3">
        <f t="shared" si="290"/>
        <v>45.559845559845556</v>
      </c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>
        <f t="shared" ref="AJ233" si="291">AJ232/0.0259</f>
        <v>65.637065637065632</v>
      </c>
      <c r="AK233" s="3"/>
      <c r="AL233" s="3"/>
    </row>
    <row r="234" spans="1:38" x14ac:dyDescent="0.25">
      <c r="A234" t="s">
        <v>138</v>
      </c>
      <c r="C234" s="3">
        <f t="shared" ref="C234" si="292">C233</f>
        <v>54.440154440154437</v>
      </c>
      <c r="H234" s="3">
        <f t="shared" ref="H234:J234" si="293">H233</f>
        <v>71.814671814671826</v>
      </c>
      <c r="J234" s="3">
        <f t="shared" si="293"/>
        <v>73.359073359073363</v>
      </c>
      <c r="K234" s="3"/>
      <c r="L234" s="3">
        <f t="shared" ref="L234" si="294">L233</f>
        <v>75.289575289575296</v>
      </c>
      <c r="M234" s="3">
        <f t="shared" ref="M234:N234" si="295">M233</f>
        <v>91.505791505791507</v>
      </c>
      <c r="N234" s="3">
        <f t="shared" si="295"/>
        <v>66.023166023166027</v>
      </c>
      <c r="O234" s="3"/>
      <c r="P234" s="3">
        <f t="shared" ref="P234:U234" si="296">P233</f>
        <v>69.111969111969117</v>
      </c>
      <c r="Q234" s="3">
        <f t="shared" si="296"/>
        <v>63.706563706563706</v>
      </c>
      <c r="R234" s="3">
        <f t="shared" si="296"/>
        <v>62.548262548262556</v>
      </c>
      <c r="S234" s="3">
        <f t="shared" si="296"/>
        <v>54.826254826254825</v>
      </c>
      <c r="T234" s="3">
        <f t="shared" si="296"/>
        <v>66.409266409266408</v>
      </c>
      <c r="U234" s="3">
        <f t="shared" si="296"/>
        <v>64.478764478764475</v>
      </c>
      <c r="V234" s="3">
        <f t="shared" ref="V234:W234" si="297">V233</f>
        <v>59.845559845559848</v>
      </c>
      <c r="W234" s="3">
        <f t="shared" si="297"/>
        <v>45.559845559845556</v>
      </c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>
        <f t="shared" ref="AJ234" si="298">AJ233</f>
        <v>65.637065637065632</v>
      </c>
      <c r="AK234" s="3"/>
      <c r="AL234" s="3"/>
    </row>
    <row r="236" spans="1:38" x14ac:dyDescent="0.25">
      <c r="A236" t="s">
        <v>53</v>
      </c>
      <c r="B236">
        <v>1.58</v>
      </c>
      <c r="C236">
        <v>2.02</v>
      </c>
      <c r="H236">
        <v>1.66</v>
      </c>
      <c r="J236">
        <v>2.11</v>
      </c>
      <c r="L236">
        <v>1.81</v>
      </c>
      <c r="M236">
        <v>1.61</v>
      </c>
      <c r="N236">
        <v>1.82</v>
      </c>
      <c r="P236">
        <v>1.92</v>
      </c>
      <c r="Q236">
        <v>1.54</v>
      </c>
      <c r="R236">
        <v>1.85</v>
      </c>
      <c r="S236">
        <v>2.0099999999999998</v>
      </c>
      <c r="T236">
        <v>1.81</v>
      </c>
      <c r="U236">
        <v>1.84</v>
      </c>
      <c r="V236">
        <v>1.64</v>
      </c>
      <c r="W236">
        <v>1.6</v>
      </c>
      <c r="AJ236">
        <v>3.25</v>
      </c>
    </row>
    <row r="237" spans="1:38" x14ac:dyDescent="0.25">
      <c r="A237" t="s">
        <v>80</v>
      </c>
      <c r="B237" s="3">
        <f t="shared" ref="B237:C237" si="299">B236/0.0259</f>
        <v>61.003861003861005</v>
      </c>
      <c r="C237" s="3">
        <f t="shared" si="299"/>
        <v>77.992277992277991</v>
      </c>
      <c r="H237" s="3">
        <f t="shared" ref="H237:J237" si="300">H236/0.0259</f>
        <v>64.092664092664094</v>
      </c>
      <c r="J237" s="3">
        <f t="shared" si="300"/>
        <v>81.467181467181462</v>
      </c>
      <c r="K237" s="3"/>
      <c r="L237" s="3">
        <f t="shared" ref="L237" si="301">L236/0.0259</f>
        <v>69.884169884169893</v>
      </c>
      <c r="M237" s="3">
        <f t="shared" ref="M237:N237" si="302">M236/0.0259</f>
        <v>62.162162162162168</v>
      </c>
      <c r="N237" s="3">
        <f t="shared" si="302"/>
        <v>70.270270270270274</v>
      </c>
      <c r="O237" s="3"/>
      <c r="P237" s="3">
        <f t="shared" ref="P237:U237" si="303">P236/0.0259</f>
        <v>74.131274131274125</v>
      </c>
      <c r="Q237" s="3">
        <f t="shared" si="303"/>
        <v>59.45945945945946</v>
      </c>
      <c r="R237" s="3">
        <f t="shared" si="303"/>
        <v>71.428571428571431</v>
      </c>
      <c r="S237" s="3">
        <f t="shared" si="303"/>
        <v>77.606177606177596</v>
      </c>
      <c r="T237" s="3">
        <f t="shared" si="303"/>
        <v>69.884169884169893</v>
      </c>
      <c r="U237" s="3">
        <f t="shared" si="303"/>
        <v>71.04247104247105</v>
      </c>
      <c r="V237" s="3">
        <f t="shared" ref="V237:W237" si="304">V236/0.0259</f>
        <v>63.320463320463318</v>
      </c>
      <c r="W237" s="3">
        <f t="shared" si="304"/>
        <v>61.776061776061781</v>
      </c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>
        <f t="shared" ref="AJ237" si="305">AJ236/0.0259</f>
        <v>125.48262548262548</v>
      </c>
      <c r="AK237" s="3"/>
      <c r="AL237" s="3"/>
    </row>
    <row r="238" spans="1:38" x14ac:dyDescent="0.25">
      <c r="A238" t="s">
        <v>120</v>
      </c>
      <c r="C238" s="3"/>
      <c r="H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40" spans="1:38" x14ac:dyDescent="0.25">
      <c r="A240" t="s">
        <v>278</v>
      </c>
      <c r="C240">
        <v>2.2400000000000002</v>
      </c>
      <c r="H240">
        <v>1.82</v>
      </c>
      <c r="J240">
        <v>2.2799999999999998</v>
      </c>
      <c r="L240">
        <v>1.96</v>
      </c>
      <c r="M240">
        <v>1.78</v>
      </c>
      <c r="N240">
        <v>1.99</v>
      </c>
      <c r="P240">
        <v>2.0699999999999998</v>
      </c>
      <c r="Q240">
        <v>1.76</v>
      </c>
      <c r="R240">
        <v>2.11</v>
      </c>
      <c r="S240">
        <v>2.21</v>
      </c>
      <c r="T240">
        <v>2.0099999999999998</v>
      </c>
      <c r="U240">
        <v>2.08</v>
      </c>
      <c r="V240">
        <v>1.86</v>
      </c>
      <c r="W240">
        <v>1.88</v>
      </c>
    </row>
    <row r="242" spans="1:36" x14ac:dyDescent="0.25">
      <c r="A242" t="s">
        <v>206</v>
      </c>
      <c r="B242">
        <v>120</v>
      </c>
      <c r="C242">
        <v>78</v>
      </c>
      <c r="H242">
        <v>71</v>
      </c>
      <c r="J242">
        <v>71</v>
      </c>
      <c r="L242">
        <v>79</v>
      </c>
      <c r="M242">
        <v>78</v>
      </c>
      <c r="N242">
        <v>68</v>
      </c>
      <c r="O242">
        <v>57</v>
      </c>
      <c r="P242">
        <v>52</v>
      </c>
      <c r="Q242">
        <v>58</v>
      </c>
      <c r="R242">
        <v>62</v>
      </c>
      <c r="AH242">
        <v>46</v>
      </c>
      <c r="AI242">
        <v>39</v>
      </c>
    </row>
    <row r="243" spans="1:36" x14ac:dyDescent="0.25">
      <c r="A243" t="s">
        <v>207</v>
      </c>
      <c r="C243">
        <f t="shared" ref="C243" si="306">C242</f>
        <v>78</v>
      </c>
      <c r="H243">
        <f t="shared" ref="H243:J243" si="307">H242</f>
        <v>71</v>
      </c>
      <c r="J243">
        <f t="shared" si="307"/>
        <v>71</v>
      </c>
      <c r="L243">
        <f t="shared" ref="L243" si="308">L242</f>
        <v>79</v>
      </c>
      <c r="M243">
        <f t="shared" ref="M243:R243" si="309">M242</f>
        <v>78</v>
      </c>
      <c r="N243">
        <f t="shared" si="309"/>
        <v>68</v>
      </c>
      <c r="O243">
        <f t="shared" si="309"/>
        <v>57</v>
      </c>
      <c r="P243">
        <f t="shared" si="309"/>
        <v>52</v>
      </c>
      <c r="Q243">
        <f t="shared" si="309"/>
        <v>58</v>
      </c>
      <c r="R243">
        <f t="shared" si="309"/>
        <v>62</v>
      </c>
      <c r="AH243">
        <f>AH242</f>
        <v>46</v>
      </c>
      <c r="AI243">
        <f>AI242</f>
        <v>39</v>
      </c>
    </row>
    <row r="244" spans="1:36" x14ac:dyDescent="0.25">
      <c r="A244" t="s">
        <v>205</v>
      </c>
    </row>
    <row r="246" spans="1:36" x14ac:dyDescent="0.25">
      <c r="A246" t="s">
        <v>54</v>
      </c>
      <c r="S246">
        <v>1.6</v>
      </c>
      <c r="T246">
        <v>1.2</v>
      </c>
      <c r="U246">
        <v>1.2</v>
      </c>
      <c r="V246">
        <v>1.2</v>
      </c>
      <c r="W246">
        <v>1.6</v>
      </c>
      <c r="AJ246">
        <v>2.0299999999999998</v>
      </c>
    </row>
    <row r="248" spans="1:36" x14ac:dyDescent="0.25">
      <c r="A248" t="s">
        <v>55</v>
      </c>
      <c r="C248">
        <v>2.37</v>
      </c>
      <c r="H248">
        <v>2.37</v>
      </c>
      <c r="J248">
        <v>2.39</v>
      </c>
      <c r="L248">
        <v>2.4</v>
      </c>
      <c r="M248">
        <v>2.44</v>
      </c>
      <c r="N248">
        <v>2.35</v>
      </c>
      <c r="P248">
        <v>2.3199999999999998</v>
      </c>
      <c r="Q248">
        <v>2.4</v>
      </c>
      <c r="R248">
        <v>2.44</v>
      </c>
      <c r="S248">
        <v>2.5</v>
      </c>
      <c r="T248">
        <v>2.39</v>
      </c>
      <c r="U248">
        <v>2.37</v>
      </c>
      <c r="V248">
        <v>2.36</v>
      </c>
      <c r="W248">
        <v>2.42</v>
      </c>
      <c r="X248">
        <v>2.29</v>
      </c>
      <c r="Y248">
        <v>2.25</v>
      </c>
      <c r="Z248">
        <v>2.4</v>
      </c>
      <c r="AA248">
        <v>2.29</v>
      </c>
      <c r="AB248">
        <v>2.41</v>
      </c>
      <c r="AC248">
        <v>2.2200000000000002</v>
      </c>
    </row>
    <row r="249" spans="1:36" x14ac:dyDescent="0.25">
      <c r="A249" t="s">
        <v>82</v>
      </c>
      <c r="C249">
        <f t="shared" ref="C249" si="310">C248/0.25</f>
        <v>9.48</v>
      </c>
      <c r="H249">
        <f t="shared" ref="H249:J249" si="311">H248/0.25</f>
        <v>9.48</v>
      </c>
      <c r="J249">
        <f t="shared" si="311"/>
        <v>9.56</v>
      </c>
      <c r="L249">
        <f t="shared" ref="L249" si="312">L248/0.25</f>
        <v>9.6</v>
      </c>
      <c r="M249">
        <f t="shared" ref="M249:N249" si="313">M248/0.25</f>
        <v>9.76</v>
      </c>
      <c r="N249">
        <f t="shared" si="313"/>
        <v>9.4</v>
      </c>
      <c r="P249">
        <f t="shared" ref="P249:U249" si="314">P248/0.25</f>
        <v>9.2799999999999994</v>
      </c>
      <c r="Q249">
        <f t="shared" si="314"/>
        <v>9.6</v>
      </c>
      <c r="R249">
        <f t="shared" si="314"/>
        <v>9.76</v>
      </c>
      <c r="S249">
        <f t="shared" si="314"/>
        <v>10</v>
      </c>
      <c r="T249">
        <f t="shared" si="314"/>
        <v>9.56</v>
      </c>
      <c r="U249">
        <f t="shared" si="314"/>
        <v>9.48</v>
      </c>
      <c r="V249">
        <f t="shared" ref="V249:AC249" si="315">V248/0.25</f>
        <v>9.44</v>
      </c>
      <c r="W249">
        <f t="shared" si="315"/>
        <v>9.68</v>
      </c>
      <c r="X249">
        <f t="shared" ref="X249" si="316">X248/0.25</f>
        <v>9.16</v>
      </c>
      <c r="Y249">
        <f t="shared" si="315"/>
        <v>9</v>
      </c>
      <c r="Z249">
        <f t="shared" si="315"/>
        <v>9.6</v>
      </c>
      <c r="AA249">
        <f t="shared" ref="AA249:AB249" si="317">AA248/0.25</f>
        <v>9.16</v>
      </c>
      <c r="AB249">
        <f t="shared" si="317"/>
        <v>9.64</v>
      </c>
      <c r="AC249">
        <f t="shared" si="315"/>
        <v>8.8800000000000008</v>
      </c>
    </row>
    <row r="250" spans="1:36" x14ac:dyDescent="0.25">
      <c r="A250" t="s">
        <v>121</v>
      </c>
    </row>
    <row r="252" spans="1:36" x14ac:dyDescent="0.25">
      <c r="A252" t="s">
        <v>56</v>
      </c>
      <c r="B252">
        <v>4.5999999999999996</v>
      </c>
      <c r="C252">
        <v>4.0999999999999996</v>
      </c>
      <c r="D252">
        <v>4.0999999999999996</v>
      </c>
      <c r="E252">
        <v>4.0999999999999996</v>
      </c>
      <c r="F252">
        <v>4.2</v>
      </c>
      <c r="G252">
        <v>4.3</v>
      </c>
      <c r="H252">
        <v>4.9000000000000004</v>
      </c>
      <c r="I252">
        <v>4.3</v>
      </c>
      <c r="J252">
        <v>4.4000000000000004</v>
      </c>
      <c r="K252">
        <v>4.2</v>
      </c>
      <c r="L252">
        <v>4.9000000000000004</v>
      </c>
      <c r="M252">
        <v>4</v>
      </c>
      <c r="N252">
        <v>4</v>
      </c>
      <c r="P252">
        <v>3.8</v>
      </c>
      <c r="Q252">
        <v>3.8</v>
      </c>
      <c r="R252">
        <v>4.2</v>
      </c>
      <c r="S252">
        <v>4.0999999999999996</v>
      </c>
      <c r="T252">
        <v>4.2</v>
      </c>
      <c r="U252">
        <v>4.4000000000000004</v>
      </c>
      <c r="V252">
        <v>4.3</v>
      </c>
      <c r="W252">
        <v>4.0999999999999996</v>
      </c>
    </row>
    <row r="253" spans="1:36" x14ac:dyDescent="0.25">
      <c r="A253" t="s">
        <v>83</v>
      </c>
      <c r="C253">
        <f t="shared" ref="C253" si="318">C252</f>
        <v>4.0999999999999996</v>
      </c>
      <c r="H253">
        <f t="shared" ref="H253:J253" si="319">H252</f>
        <v>4.9000000000000004</v>
      </c>
      <c r="J253">
        <f t="shared" si="319"/>
        <v>4.4000000000000004</v>
      </c>
      <c r="K253">
        <f t="shared" ref="K253:L253" si="320">K252</f>
        <v>4.2</v>
      </c>
      <c r="L253">
        <f t="shared" si="320"/>
        <v>4.9000000000000004</v>
      </c>
      <c r="M253">
        <f t="shared" ref="M253:N253" si="321">M252</f>
        <v>4</v>
      </c>
      <c r="N253">
        <f t="shared" si="321"/>
        <v>4</v>
      </c>
      <c r="P253">
        <f t="shared" ref="P253:U253" si="322">P252</f>
        <v>3.8</v>
      </c>
      <c r="Q253">
        <f t="shared" si="322"/>
        <v>3.8</v>
      </c>
      <c r="R253">
        <f t="shared" si="322"/>
        <v>4.2</v>
      </c>
      <c r="S253">
        <f t="shared" si="322"/>
        <v>4.0999999999999996</v>
      </c>
      <c r="T253">
        <f t="shared" si="322"/>
        <v>4.2</v>
      </c>
      <c r="U253">
        <f t="shared" si="322"/>
        <v>4.4000000000000004</v>
      </c>
      <c r="V253">
        <f t="shared" ref="V253:W253" si="323">V252</f>
        <v>4.3</v>
      </c>
      <c r="W253">
        <f t="shared" si="323"/>
        <v>4.0999999999999996</v>
      </c>
    </row>
    <row r="254" spans="1:36" x14ac:dyDescent="0.25">
      <c r="A254" t="s">
        <v>141</v>
      </c>
      <c r="C254">
        <f t="shared" ref="C254" si="324">C252</f>
        <v>4.0999999999999996</v>
      </c>
      <c r="H254">
        <f t="shared" ref="H254:J254" si="325">H252</f>
        <v>4.9000000000000004</v>
      </c>
      <c r="J254">
        <f t="shared" si="325"/>
        <v>4.4000000000000004</v>
      </c>
      <c r="K254">
        <f t="shared" ref="K254:L254" si="326">K252</f>
        <v>4.2</v>
      </c>
      <c r="L254">
        <f t="shared" si="326"/>
        <v>4.9000000000000004</v>
      </c>
      <c r="M254">
        <f t="shared" ref="M254:N254" si="327">M252</f>
        <v>4</v>
      </c>
      <c r="N254">
        <f t="shared" si="327"/>
        <v>4</v>
      </c>
      <c r="P254">
        <f t="shared" ref="P254:U254" si="328">P252</f>
        <v>3.8</v>
      </c>
      <c r="Q254">
        <f t="shared" si="328"/>
        <v>3.8</v>
      </c>
      <c r="R254">
        <f t="shared" si="328"/>
        <v>4.2</v>
      </c>
      <c r="S254">
        <f t="shared" si="328"/>
        <v>4.0999999999999996</v>
      </c>
      <c r="T254">
        <f t="shared" si="328"/>
        <v>4.2</v>
      </c>
      <c r="U254">
        <f t="shared" si="328"/>
        <v>4.4000000000000004</v>
      </c>
      <c r="V254">
        <f t="shared" ref="V254:W254" si="329">V252</f>
        <v>4.3</v>
      </c>
      <c r="W254">
        <f t="shared" si="329"/>
        <v>4.0999999999999996</v>
      </c>
    </row>
    <row r="256" spans="1:36" x14ac:dyDescent="0.25">
      <c r="A256" t="s">
        <v>57</v>
      </c>
      <c r="B256">
        <v>131</v>
      </c>
      <c r="C256">
        <v>132</v>
      </c>
      <c r="D256">
        <v>134</v>
      </c>
      <c r="E256">
        <v>135</v>
      </c>
      <c r="F256">
        <v>129</v>
      </c>
      <c r="G256">
        <v>132</v>
      </c>
      <c r="H256">
        <v>132</v>
      </c>
      <c r="I256">
        <v>129</v>
      </c>
      <c r="J256">
        <v>131</v>
      </c>
      <c r="K256">
        <v>131</v>
      </c>
      <c r="L256">
        <v>133</v>
      </c>
      <c r="M256">
        <v>132</v>
      </c>
      <c r="N256">
        <v>137</v>
      </c>
      <c r="P256">
        <v>136</v>
      </c>
      <c r="Q256">
        <v>141</v>
      </c>
      <c r="R256">
        <v>136</v>
      </c>
      <c r="S256">
        <v>138</v>
      </c>
      <c r="T256">
        <v>140</v>
      </c>
      <c r="U256">
        <v>139</v>
      </c>
      <c r="V256">
        <v>139</v>
      </c>
      <c r="W256">
        <v>137</v>
      </c>
    </row>
    <row r="257" spans="1:38" x14ac:dyDescent="0.25">
      <c r="A257" t="s">
        <v>84</v>
      </c>
      <c r="C257">
        <f t="shared" ref="C257" si="330">C256</f>
        <v>132</v>
      </c>
      <c r="H257">
        <f t="shared" ref="H257:J257" si="331">H256</f>
        <v>132</v>
      </c>
      <c r="J257">
        <f t="shared" si="331"/>
        <v>131</v>
      </c>
      <c r="K257">
        <f t="shared" ref="K257:L257" si="332">K256</f>
        <v>131</v>
      </c>
      <c r="L257">
        <f t="shared" si="332"/>
        <v>133</v>
      </c>
      <c r="M257">
        <f t="shared" ref="M257:N257" si="333">M256</f>
        <v>132</v>
      </c>
      <c r="N257">
        <f t="shared" si="333"/>
        <v>137</v>
      </c>
      <c r="P257">
        <f t="shared" ref="P257:U257" si="334">P256</f>
        <v>136</v>
      </c>
      <c r="Q257">
        <f t="shared" si="334"/>
        <v>141</v>
      </c>
      <c r="R257">
        <f t="shared" si="334"/>
        <v>136</v>
      </c>
      <c r="S257">
        <f t="shared" si="334"/>
        <v>138</v>
      </c>
      <c r="T257">
        <f t="shared" si="334"/>
        <v>140</v>
      </c>
      <c r="U257">
        <f t="shared" si="334"/>
        <v>139</v>
      </c>
      <c r="V257">
        <f t="shared" ref="V257:W257" si="335">V256</f>
        <v>139</v>
      </c>
      <c r="W257">
        <f t="shared" si="335"/>
        <v>137</v>
      </c>
    </row>
    <row r="259" spans="1:38" x14ac:dyDescent="0.25">
      <c r="A259" t="s">
        <v>273</v>
      </c>
      <c r="B259">
        <v>94</v>
      </c>
      <c r="C259">
        <v>97</v>
      </c>
      <c r="D259">
        <v>99</v>
      </c>
      <c r="E259">
        <v>99</v>
      </c>
      <c r="F259">
        <v>92</v>
      </c>
      <c r="G259">
        <v>97</v>
      </c>
      <c r="H259">
        <v>96</v>
      </c>
      <c r="I259">
        <v>94</v>
      </c>
      <c r="J259">
        <v>95</v>
      </c>
      <c r="K259">
        <v>96</v>
      </c>
      <c r="L259">
        <v>95</v>
      </c>
      <c r="M259">
        <v>94</v>
      </c>
      <c r="N259">
        <v>103</v>
      </c>
      <c r="P259">
        <v>99</v>
      </c>
      <c r="Q259">
        <v>102</v>
      </c>
      <c r="R259">
        <v>100</v>
      </c>
      <c r="S259">
        <v>102</v>
      </c>
      <c r="T259">
        <v>104</v>
      </c>
      <c r="U259">
        <v>102</v>
      </c>
      <c r="V259">
        <v>102</v>
      </c>
      <c r="W259">
        <v>100</v>
      </c>
    </row>
    <row r="261" spans="1:38" x14ac:dyDescent="0.25">
      <c r="A261" t="s">
        <v>58</v>
      </c>
      <c r="P261">
        <v>0.78</v>
      </c>
      <c r="Q261">
        <v>0.85</v>
      </c>
      <c r="R261">
        <v>0.84</v>
      </c>
      <c r="S261">
        <v>0.8</v>
      </c>
      <c r="T261">
        <v>0.84</v>
      </c>
      <c r="U261">
        <v>0.78</v>
      </c>
      <c r="V261">
        <v>0.79</v>
      </c>
      <c r="W261">
        <v>0.76</v>
      </c>
      <c r="Z261">
        <v>0.81</v>
      </c>
    </row>
    <row r="262" spans="1:38" x14ac:dyDescent="0.25">
      <c r="A262" t="s">
        <v>85</v>
      </c>
      <c r="C262" s="4"/>
      <c r="H262" s="4"/>
      <c r="J262" s="4"/>
      <c r="K262" s="4"/>
      <c r="L262" s="4"/>
      <c r="M262" s="4"/>
      <c r="N262" s="4"/>
      <c r="O262" s="4"/>
      <c r="P262" s="4">
        <f t="shared" ref="P262:U262" si="336">P261/0.4114</f>
        <v>1.8959649975692758</v>
      </c>
      <c r="Q262" s="4">
        <f t="shared" si="336"/>
        <v>2.0661157024793391</v>
      </c>
      <c r="R262" s="4">
        <f t="shared" si="336"/>
        <v>2.0418084589207584</v>
      </c>
      <c r="S262" s="4">
        <f t="shared" si="336"/>
        <v>1.9445794846864368</v>
      </c>
      <c r="T262" s="4">
        <f t="shared" si="336"/>
        <v>2.0418084589207584</v>
      </c>
      <c r="U262" s="4">
        <f t="shared" si="336"/>
        <v>1.8959649975692758</v>
      </c>
      <c r="V262" s="4">
        <f t="shared" ref="V262:Z262" si="337">V261/0.4114</f>
        <v>1.9202722411278563</v>
      </c>
      <c r="W262" s="4">
        <f t="shared" si="337"/>
        <v>1.8473505104521148</v>
      </c>
      <c r="X262" s="4"/>
      <c r="Y262" s="4"/>
      <c r="Z262" s="4">
        <f t="shared" si="337"/>
        <v>1.9688867282450171</v>
      </c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</row>
    <row r="264" spans="1:38" x14ac:dyDescent="0.25">
      <c r="A264" t="s">
        <v>59</v>
      </c>
      <c r="C264">
        <v>14</v>
      </c>
      <c r="H264">
        <v>16.37</v>
      </c>
      <c r="J264">
        <v>20.32</v>
      </c>
      <c r="K264">
        <v>15.7</v>
      </c>
      <c r="L264">
        <v>15.65</v>
      </c>
      <c r="M264">
        <v>21.39</v>
      </c>
      <c r="N264">
        <v>14.74</v>
      </c>
      <c r="P264">
        <v>19.46</v>
      </c>
      <c r="Q264">
        <v>23.13</v>
      </c>
      <c r="R264">
        <v>18.3</v>
      </c>
      <c r="S264">
        <v>13.02</v>
      </c>
      <c r="T264">
        <v>13.08</v>
      </c>
      <c r="U264">
        <v>8.41</v>
      </c>
      <c r="V264">
        <v>10.220000000000001</v>
      </c>
      <c r="W264">
        <v>19.29</v>
      </c>
      <c r="Y264">
        <v>17.64</v>
      </c>
      <c r="Z264">
        <v>13.27</v>
      </c>
      <c r="AA264">
        <v>14.25</v>
      </c>
      <c r="AB264">
        <v>10.98</v>
      </c>
      <c r="AC264">
        <v>20.61</v>
      </c>
    </row>
    <row r="265" spans="1:38" x14ac:dyDescent="0.25">
      <c r="A265" t="s">
        <v>106</v>
      </c>
      <c r="C265" s="2">
        <f t="shared" ref="C265" si="338">C264/0.179</f>
        <v>78.212290502793294</v>
      </c>
      <c r="H265" s="2">
        <f t="shared" ref="H265:J265" si="339">H264/0.179</f>
        <v>91.452513966480453</v>
      </c>
      <c r="J265" s="2">
        <f t="shared" si="339"/>
        <v>113.5195530726257</v>
      </c>
      <c r="K265" s="2">
        <f t="shared" ref="K265:L265" si="340">K264/0.179</f>
        <v>87.709497206703915</v>
      </c>
      <c r="L265" s="2">
        <f t="shared" si="340"/>
        <v>87.430167597765376</v>
      </c>
      <c r="M265" s="2">
        <f t="shared" ref="M265:N265" si="341">M264/0.179</f>
        <v>119.49720670391062</v>
      </c>
      <c r="N265" s="2">
        <f t="shared" si="341"/>
        <v>82.346368715083798</v>
      </c>
      <c r="O265" s="2"/>
      <c r="P265" s="2">
        <f t="shared" ref="P265:U265" si="342">P264/0.179</f>
        <v>108.71508379888269</v>
      </c>
      <c r="Q265" s="2">
        <f t="shared" si="342"/>
        <v>129.21787709497207</v>
      </c>
      <c r="R265" s="2">
        <f t="shared" si="342"/>
        <v>102.23463687150839</v>
      </c>
      <c r="S265" s="2">
        <f t="shared" si="342"/>
        <v>72.737430167597765</v>
      </c>
      <c r="T265" s="2">
        <f t="shared" si="342"/>
        <v>73.072625698324032</v>
      </c>
      <c r="U265" s="2">
        <f t="shared" si="342"/>
        <v>46.983240223463689</v>
      </c>
      <c r="V265" s="2">
        <f t="shared" ref="V265:AC265" si="343">V264/0.179</f>
        <v>57.094972067039109</v>
      </c>
      <c r="W265" s="2">
        <f t="shared" si="343"/>
        <v>107.76536312849161</v>
      </c>
      <c r="X265" s="2"/>
      <c r="Y265" s="2">
        <f t="shared" si="343"/>
        <v>98.547486033519561</v>
      </c>
      <c r="Z265" s="2">
        <f t="shared" si="343"/>
        <v>74.134078212290504</v>
      </c>
      <c r="AA265" s="2">
        <f t="shared" ref="AA265:AB265" si="344">AA264/0.179</f>
        <v>79.608938547486034</v>
      </c>
      <c r="AB265" s="2">
        <f t="shared" si="344"/>
        <v>61.340782122905033</v>
      </c>
      <c r="AC265" s="2">
        <f t="shared" si="343"/>
        <v>115.13966480446928</v>
      </c>
      <c r="AD265" s="2"/>
      <c r="AE265" s="2"/>
      <c r="AF265" s="2"/>
      <c r="AG265" s="2"/>
      <c r="AH265" s="2"/>
      <c r="AI265" s="2"/>
      <c r="AJ265" s="2"/>
      <c r="AK265" s="2"/>
      <c r="AL265" s="2"/>
    </row>
    <row r="267" spans="1:38" x14ac:dyDescent="0.25">
      <c r="A267" t="s">
        <v>222</v>
      </c>
      <c r="P267">
        <v>32</v>
      </c>
      <c r="Q267">
        <v>27</v>
      </c>
      <c r="R267">
        <v>28</v>
      </c>
      <c r="S267">
        <v>36</v>
      </c>
      <c r="T267">
        <v>41</v>
      </c>
      <c r="U267">
        <v>44</v>
      </c>
      <c r="V267">
        <v>42</v>
      </c>
      <c r="W267">
        <v>35</v>
      </c>
    </row>
    <row r="269" spans="1:38" x14ac:dyDescent="0.25">
      <c r="A269" t="s">
        <v>221</v>
      </c>
      <c r="P269">
        <v>2.25</v>
      </c>
      <c r="Q269">
        <v>2.46</v>
      </c>
      <c r="R269">
        <v>2.2000000000000002</v>
      </c>
      <c r="S269">
        <v>2.4500000000000002</v>
      </c>
      <c r="T269">
        <v>2.63</v>
      </c>
      <c r="U269">
        <v>2.71</v>
      </c>
      <c r="V269">
        <v>2.63</v>
      </c>
      <c r="W269">
        <v>2.4900000000000002</v>
      </c>
    </row>
    <row r="271" spans="1:38" x14ac:dyDescent="0.25">
      <c r="A271" t="s">
        <v>60</v>
      </c>
      <c r="P271">
        <v>34.4</v>
      </c>
      <c r="Q271">
        <v>37.4</v>
      </c>
      <c r="R271">
        <v>33.1</v>
      </c>
      <c r="S271">
        <v>21.2</v>
      </c>
      <c r="T271">
        <v>19.8</v>
      </c>
      <c r="U271">
        <v>12.3</v>
      </c>
      <c r="V271">
        <v>15.5</v>
      </c>
      <c r="W271">
        <v>30.8</v>
      </c>
    </row>
    <row r="272" spans="1:38" x14ac:dyDescent="0.25">
      <c r="A272" t="s">
        <v>104</v>
      </c>
      <c r="P272">
        <f t="shared" ref="P272:U272" si="345">P271</f>
        <v>34.4</v>
      </c>
      <c r="Q272">
        <f t="shared" si="345"/>
        <v>37.4</v>
      </c>
      <c r="R272">
        <f t="shared" si="345"/>
        <v>33.1</v>
      </c>
      <c r="S272">
        <f t="shared" si="345"/>
        <v>21.2</v>
      </c>
      <c r="T272">
        <f t="shared" si="345"/>
        <v>19.8</v>
      </c>
      <c r="U272">
        <f t="shared" si="345"/>
        <v>12.3</v>
      </c>
      <c r="V272">
        <f t="shared" ref="V272:W272" si="346">V271</f>
        <v>15.5</v>
      </c>
      <c r="W272">
        <f t="shared" si="346"/>
        <v>30.8</v>
      </c>
    </row>
    <row r="274" spans="1:29" x14ac:dyDescent="0.25">
      <c r="A274" t="s">
        <v>61</v>
      </c>
      <c r="C274">
        <v>137</v>
      </c>
      <c r="H274">
        <v>172</v>
      </c>
      <c r="I274">
        <v>159</v>
      </c>
      <c r="J274">
        <v>178.4</v>
      </c>
      <c r="K274">
        <v>137</v>
      </c>
      <c r="L274">
        <v>161.1</v>
      </c>
      <c r="M274">
        <v>153.5</v>
      </c>
      <c r="N274">
        <v>103.7</v>
      </c>
      <c r="P274">
        <v>130.6</v>
      </c>
      <c r="Q274">
        <v>105.5</v>
      </c>
      <c r="R274">
        <v>89.7</v>
      </c>
      <c r="S274">
        <v>59.8</v>
      </c>
      <c r="T274">
        <v>44.5</v>
      </c>
      <c r="U274">
        <v>39.9</v>
      </c>
      <c r="V274">
        <v>35.799999999999997</v>
      </c>
      <c r="W274">
        <v>49</v>
      </c>
    </row>
    <row r="275" spans="1:29" x14ac:dyDescent="0.25">
      <c r="A275" t="s">
        <v>105</v>
      </c>
      <c r="C275">
        <f t="shared" ref="C275" si="347">C274</f>
        <v>137</v>
      </c>
      <c r="H275">
        <f t="shared" ref="H275:J275" si="348">H274</f>
        <v>172</v>
      </c>
      <c r="I275">
        <f t="shared" si="348"/>
        <v>159</v>
      </c>
      <c r="J275">
        <f t="shared" si="348"/>
        <v>178.4</v>
      </c>
      <c r="K275">
        <f t="shared" ref="K275:L275" si="349">K274</f>
        <v>137</v>
      </c>
      <c r="L275">
        <f t="shared" si="349"/>
        <v>161.1</v>
      </c>
      <c r="M275">
        <f t="shared" ref="M275:N275" si="350">M274</f>
        <v>153.5</v>
      </c>
      <c r="N275">
        <f t="shared" si="350"/>
        <v>103.7</v>
      </c>
      <c r="P275">
        <f t="shared" ref="P275:U275" si="351">P274</f>
        <v>130.6</v>
      </c>
      <c r="Q275">
        <f t="shared" si="351"/>
        <v>105.5</v>
      </c>
      <c r="R275">
        <f t="shared" si="351"/>
        <v>89.7</v>
      </c>
      <c r="S275">
        <f t="shared" si="351"/>
        <v>59.8</v>
      </c>
      <c r="T275">
        <f t="shared" si="351"/>
        <v>44.5</v>
      </c>
      <c r="U275">
        <f t="shared" si="351"/>
        <v>39.9</v>
      </c>
      <c r="V275">
        <f t="shared" ref="V275:W275" si="352">V274</f>
        <v>35.799999999999997</v>
      </c>
      <c r="W275">
        <f t="shared" si="352"/>
        <v>49</v>
      </c>
    </row>
    <row r="276" spans="1:29" x14ac:dyDescent="0.25">
      <c r="A276" t="s">
        <v>211</v>
      </c>
    </row>
    <row r="277" spans="1:29" x14ac:dyDescent="0.25">
      <c r="A277" t="s">
        <v>300</v>
      </c>
    </row>
    <row r="279" spans="1:29" x14ac:dyDescent="0.25">
      <c r="A279" t="s">
        <v>62</v>
      </c>
      <c r="C279">
        <v>1269</v>
      </c>
      <c r="H279">
        <v>1288</v>
      </c>
      <c r="J279">
        <v>1476</v>
      </c>
      <c r="L279">
        <v>751</v>
      </c>
      <c r="M279">
        <v>1033</v>
      </c>
      <c r="N279">
        <v>1265</v>
      </c>
      <c r="P279">
        <v>896</v>
      </c>
      <c r="Q279">
        <v>936</v>
      </c>
      <c r="R279">
        <v>934</v>
      </c>
      <c r="S279">
        <v>1818</v>
      </c>
      <c r="T279">
        <v>1394</v>
      </c>
      <c r="U279">
        <v>1890</v>
      </c>
      <c r="V279">
        <v>1825</v>
      </c>
      <c r="W279">
        <v>500</v>
      </c>
      <c r="Y279">
        <v>506</v>
      </c>
      <c r="Z279">
        <v>540</v>
      </c>
      <c r="AA279">
        <v>368</v>
      </c>
      <c r="AB279">
        <v>289</v>
      </c>
      <c r="AC279">
        <v>264</v>
      </c>
    </row>
    <row r="280" spans="1:29" x14ac:dyDescent="0.25">
      <c r="A280" t="s">
        <v>86</v>
      </c>
      <c r="C280">
        <f t="shared" ref="C280" si="353">C279</f>
        <v>1269</v>
      </c>
      <c r="H280">
        <f t="shared" ref="H280:J280" si="354">H279</f>
        <v>1288</v>
      </c>
      <c r="J280">
        <f t="shared" si="354"/>
        <v>1476</v>
      </c>
      <c r="L280">
        <f t="shared" ref="L280" si="355">L279</f>
        <v>751</v>
      </c>
      <c r="M280">
        <f t="shared" ref="M280:N280" si="356">M279</f>
        <v>1033</v>
      </c>
      <c r="N280">
        <f t="shared" si="356"/>
        <v>1265</v>
      </c>
      <c r="P280">
        <f t="shared" ref="P280:U280" si="357">P279</f>
        <v>896</v>
      </c>
      <c r="Q280">
        <f t="shared" si="357"/>
        <v>936</v>
      </c>
      <c r="R280">
        <f t="shared" si="357"/>
        <v>934</v>
      </c>
      <c r="S280">
        <f t="shared" si="357"/>
        <v>1818</v>
      </c>
      <c r="T280">
        <f t="shared" si="357"/>
        <v>1394</v>
      </c>
      <c r="U280">
        <f t="shared" si="357"/>
        <v>1890</v>
      </c>
      <c r="V280">
        <f t="shared" ref="V280:AA280" si="358">V279</f>
        <v>1825</v>
      </c>
      <c r="W280">
        <f t="shared" si="358"/>
        <v>500</v>
      </c>
      <c r="Y280">
        <f t="shared" ref="Y280" si="359">Y279</f>
        <v>506</v>
      </c>
      <c r="Z280">
        <f t="shared" ref="Z280" si="360">Z279</f>
        <v>540</v>
      </c>
      <c r="AA280">
        <f t="shared" si="358"/>
        <v>368</v>
      </c>
      <c r="AB280">
        <f t="shared" ref="AB280:AC280" si="361">AB279</f>
        <v>289</v>
      </c>
      <c r="AC280">
        <f t="shared" si="361"/>
        <v>264</v>
      </c>
    </row>
    <row r="281" spans="1:29" x14ac:dyDescent="0.25">
      <c r="A281" t="s">
        <v>131</v>
      </c>
      <c r="C281">
        <f t="shared" ref="C281" si="362">C279</f>
        <v>1269</v>
      </c>
      <c r="H281">
        <f t="shared" ref="H281:J281" si="363">H279</f>
        <v>1288</v>
      </c>
      <c r="J281">
        <f t="shared" si="363"/>
        <v>1476</v>
      </c>
      <c r="L281">
        <f t="shared" ref="L281" si="364">L279</f>
        <v>751</v>
      </c>
      <c r="M281">
        <f t="shared" ref="M281:N281" si="365">M279</f>
        <v>1033</v>
      </c>
      <c r="N281">
        <f t="shared" si="365"/>
        <v>1265</v>
      </c>
      <c r="P281">
        <f t="shared" ref="P281:U281" si="366">P279</f>
        <v>896</v>
      </c>
      <c r="Q281">
        <f t="shared" si="366"/>
        <v>936</v>
      </c>
      <c r="R281">
        <f t="shared" si="366"/>
        <v>934</v>
      </c>
      <c r="S281">
        <f t="shared" si="366"/>
        <v>1818</v>
      </c>
      <c r="T281">
        <f t="shared" si="366"/>
        <v>1394</v>
      </c>
      <c r="U281">
        <f t="shared" si="366"/>
        <v>1890</v>
      </c>
      <c r="V281">
        <f t="shared" ref="V281:AA281" si="367">V279</f>
        <v>1825</v>
      </c>
      <c r="W281">
        <f t="shared" si="367"/>
        <v>500</v>
      </c>
      <c r="Y281">
        <f t="shared" ref="Y281" si="368">Y279</f>
        <v>506</v>
      </c>
      <c r="Z281">
        <f t="shared" ref="Z281" si="369">Z279</f>
        <v>540</v>
      </c>
      <c r="AA281">
        <f t="shared" si="367"/>
        <v>368</v>
      </c>
      <c r="AB281">
        <f t="shared" ref="AB281:AC281" si="370">AB279</f>
        <v>289</v>
      </c>
      <c r="AC281">
        <f t="shared" si="370"/>
        <v>264</v>
      </c>
    </row>
    <row r="283" spans="1:29" x14ac:dyDescent="0.25">
      <c r="A283" t="s">
        <v>63</v>
      </c>
      <c r="C283">
        <v>16.399999999999999</v>
      </c>
      <c r="H283">
        <v>13</v>
      </c>
      <c r="J283">
        <v>15.5</v>
      </c>
      <c r="L283">
        <v>13.1</v>
      </c>
      <c r="M283">
        <v>14.3</v>
      </c>
      <c r="N283">
        <v>17.7</v>
      </c>
      <c r="P283">
        <v>14.1</v>
      </c>
      <c r="Q283">
        <v>13.7</v>
      </c>
      <c r="R283">
        <v>14.1</v>
      </c>
      <c r="S283">
        <v>15.6</v>
      </c>
      <c r="T283">
        <v>16.3</v>
      </c>
      <c r="U283">
        <v>16.399999999999999</v>
      </c>
      <c r="V283">
        <v>16.5</v>
      </c>
      <c r="W283">
        <v>13.6</v>
      </c>
      <c r="Y283">
        <v>12.6</v>
      </c>
      <c r="Z283">
        <v>9.3000000000000007</v>
      </c>
      <c r="AA283">
        <v>8.8000000000000007</v>
      </c>
      <c r="AB283">
        <v>5.3</v>
      </c>
      <c r="AC283">
        <v>3</v>
      </c>
    </row>
    <row r="284" spans="1:29" x14ac:dyDescent="0.25">
      <c r="A284" t="s">
        <v>87</v>
      </c>
      <c r="C284">
        <f t="shared" ref="C284" si="371">C283</f>
        <v>16.399999999999999</v>
      </c>
      <c r="H284">
        <f t="shared" ref="H284:J284" si="372">H283</f>
        <v>13</v>
      </c>
      <c r="J284">
        <f t="shared" si="372"/>
        <v>15.5</v>
      </c>
      <c r="L284">
        <f t="shared" ref="L284" si="373">L283</f>
        <v>13.1</v>
      </c>
      <c r="M284">
        <f t="shared" ref="M284:N284" si="374">M283</f>
        <v>14.3</v>
      </c>
      <c r="N284">
        <f t="shared" si="374"/>
        <v>17.7</v>
      </c>
      <c r="P284">
        <f t="shared" ref="P284:U284" si="375">P283</f>
        <v>14.1</v>
      </c>
      <c r="Q284">
        <f t="shared" si="375"/>
        <v>13.7</v>
      </c>
      <c r="R284">
        <f t="shared" si="375"/>
        <v>14.1</v>
      </c>
      <c r="S284">
        <f t="shared" si="375"/>
        <v>15.6</v>
      </c>
      <c r="T284">
        <f t="shared" si="375"/>
        <v>16.3</v>
      </c>
      <c r="U284">
        <f t="shared" si="375"/>
        <v>16.399999999999999</v>
      </c>
      <c r="V284">
        <f t="shared" ref="V284:AA284" si="376">V283</f>
        <v>16.5</v>
      </c>
      <c r="W284">
        <f t="shared" si="376"/>
        <v>13.6</v>
      </c>
      <c r="Y284">
        <f t="shared" ref="Y284" si="377">Y283</f>
        <v>12.6</v>
      </c>
      <c r="Z284">
        <f t="shared" ref="Z284" si="378">Z283</f>
        <v>9.3000000000000007</v>
      </c>
      <c r="AA284">
        <f t="shared" si="376"/>
        <v>8.8000000000000007</v>
      </c>
      <c r="AB284">
        <f t="shared" ref="AB284:AC284" si="379">AB283</f>
        <v>5.3</v>
      </c>
      <c r="AC284">
        <f t="shared" si="379"/>
        <v>3</v>
      </c>
    </row>
    <row r="285" spans="1:29" ht="18" x14ac:dyDescent="0.35">
      <c r="A285" t="s">
        <v>130</v>
      </c>
      <c r="C285">
        <f t="shared" ref="C285" si="380">C283</f>
        <v>16.399999999999999</v>
      </c>
      <c r="H285">
        <f t="shared" ref="H285:J285" si="381">H283</f>
        <v>13</v>
      </c>
      <c r="J285">
        <f t="shared" si="381"/>
        <v>15.5</v>
      </c>
      <c r="L285">
        <f t="shared" ref="L285" si="382">L283</f>
        <v>13.1</v>
      </c>
      <c r="M285">
        <f t="shared" ref="M285:N285" si="383">M283</f>
        <v>14.3</v>
      </c>
      <c r="N285">
        <f t="shared" si="383"/>
        <v>17.7</v>
      </c>
      <c r="P285">
        <f t="shared" ref="P285:U285" si="384">P283</f>
        <v>14.1</v>
      </c>
      <c r="Q285">
        <f t="shared" si="384"/>
        <v>13.7</v>
      </c>
      <c r="R285">
        <f t="shared" si="384"/>
        <v>14.1</v>
      </c>
      <c r="S285">
        <f t="shared" si="384"/>
        <v>15.6</v>
      </c>
      <c r="T285">
        <f t="shared" si="384"/>
        <v>16.3</v>
      </c>
      <c r="U285">
        <f t="shared" si="384"/>
        <v>16.399999999999999</v>
      </c>
      <c r="V285">
        <f t="shared" ref="V285:AA285" si="385">V283</f>
        <v>16.5</v>
      </c>
      <c r="W285">
        <f t="shared" si="385"/>
        <v>13.6</v>
      </c>
      <c r="Y285">
        <f t="shared" ref="Y285" si="386">Y283</f>
        <v>12.6</v>
      </c>
      <c r="Z285">
        <f t="shared" ref="Z285" si="387">Z283</f>
        <v>9.3000000000000007</v>
      </c>
      <c r="AA285">
        <f t="shared" si="385"/>
        <v>8.8000000000000007</v>
      </c>
      <c r="AB285">
        <f t="shared" ref="AB285:AC285" si="388">AB283</f>
        <v>5.3</v>
      </c>
      <c r="AC285">
        <f t="shared" si="388"/>
        <v>3</v>
      </c>
    </row>
    <row r="286" spans="1:29" x14ac:dyDescent="0.25">
      <c r="A286" t="s">
        <v>234</v>
      </c>
    </row>
    <row r="288" spans="1:29" x14ac:dyDescent="0.25">
      <c r="A288" t="s">
        <v>279</v>
      </c>
      <c r="P288">
        <v>1.41</v>
      </c>
    </row>
    <row r="290" spans="1:38" x14ac:dyDescent="0.25">
      <c r="A290" t="s">
        <v>64</v>
      </c>
      <c r="B290">
        <v>3.28</v>
      </c>
      <c r="C290">
        <v>3.38</v>
      </c>
      <c r="H290">
        <v>3.13</v>
      </c>
      <c r="J290">
        <v>3.1</v>
      </c>
      <c r="L290">
        <v>3.2</v>
      </c>
      <c r="M290">
        <v>3</v>
      </c>
      <c r="N290">
        <v>2.7</v>
      </c>
      <c r="P290">
        <v>3.7</v>
      </c>
      <c r="Q290">
        <v>4.4000000000000004</v>
      </c>
      <c r="R290">
        <v>4.5</v>
      </c>
      <c r="S290">
        <v>3.9</v>
      </c>
      <c r="T290">
        <v>4.7</v>
      </c>
      <c r="U290">
        <v>4.0999999999999996</v>
      </c>
      <c r="V290">
        <v>4.2</v>
      </c>
    </row>
    <row r="291" spans="1:38" x14ac:dyDescent="0.25">
      <c r="A291" t="s">
        <v>146</v>
      </c>
      <c r="B291" s="4">
        <f>B290/1.536</f>
        <v>2.1354166666666665</v>
      </c>
      <c r="C291" s="4">
        <f>C290/1.536</f>
        <v>2.200520833333333</v>
      </c>
      <c r="H291" s="4">
        <f>H290/1.536</f>
        <v>2.0377604166666665</v>
      </c>
      <c r="J291" s="4">
        <f>J290/1.536</f>
        <v>2.0182291666666665</v>
      </c>
      <c r="K291" s="4"/>
      <c r="L291" s="4">
        <f>L290/1.536</f>
        <v>2.0833333333333335</v>
      </c>
      <c r="M291" s="4">
        <f>M290/1.536</f>
        <v>1.953125</v>
      </c>
      <c r="N291" s="4">
        <f>N290/1.536</f>
        <v>1.7578125</v>
      </c>
      <c r="O291" s="4"/>
      <c r="P291" s="4">
        <f>P290/1.536</f>
        <v>2.4088541666666665</v>
      </c>
      <c r="Q291" s="4">
        <f t="shared" ref="Q291:V291" si="389">Q290/1.536</f>
        <v>2.8645833333333335</v>
      </c>
      <c r="R291" s="4">
        <f t="shared" si="389"/>
        <v>2.9296875</v>
      </c>
      <c r="S291" s="4">
        <f t="shared" si="389"/>
        <v>2.5390625</v>
      </c>
      <c r="T291" s="4">
        <f t="shared" si="389"/>
        <v>3.0598958333333335</v>
      </c>
      <c r="U291" s="4">
        <f t="shared" si="389"/>
        <v>2.669270833333333</v>
      </c>
      <c r="V291" s="4">
        <f t="shared" si="389"/>
        <v>2.734375</v>
      </c>
      <c r="AL291" s="4"/>
    </row>
    <row r="293" spans="1:38" x14ac:dyDescent="0.25">
      <c r="A293" t="s">
        <v>280</v>
      </c>
      <c r="P293">
        <v>77.87</v>
      </c>
    </row>
    <row r="295" spans="1:38" x14ac:dyDescent="0.25">
      <c r="A295" t="s">
        <v>65</v>
      </c>
      <c r="B295">
        <v>10.17</v>
      </c>
      <c r="C295">
        <v>10.41</v>
      </c>
      <c r="H295">
        <v>10.11</v>
      </c>
      <c r="J295">
        <v>11.3</v>
      </c>
      <c r="L295">
        <v>11.06</v>
      </c>
      <c r="M295">
        <v>11.55</v>
      </c>
      <c r="N295">
        <v>9.8000000000000007</v>
      </c>
      <c r="P295">
        <v>10.73</v>
      </c>
      <c r="Q295">
        <v>11.42</v>
      </c>
      <c r="R295">
        <v>10.5</v>
      </c>
      <c r="S295">
        <v>9.39</v>
      </c>
      <c r="T295">
        <v>10.81</v>
      </c>
      <c r="U295">
        <v>11.4</v>
      </c>
      <c r="V295">
        <v>11.82</v>
      </c>
      <c r="AE295">
        <v>15.4</v>
      </c>
    </row>
    <row r="296" spans="1:38" x14ac:dyDescent="0.25">
      <c r="A296" t="s">
        <v>147</v>
      </c>
      <c r="B296" s="4">
        <f>B295/12.87</f>
        <v>0.79020979020979021</v>
      </c>
      <c r="C296" s="4">
        <f>C295/12.87</f>
        <v>0.80885780885780889</v>
      </c>
      <c r="H296" s="4">
        <f>H295/12.87</f>
        <v>0.78554778554778559</v>
      </c>
      <c r="J296" s="4">
        <f>J295/12.87</f>
        <v>0.87801087801087807</v>
      </c>
      <c r="K296" s="4"/>
      <c r="L296" s="4">
        <f>L295/12.87</f>
        <v>0.8593628593628595</v>
      </c>
      <c r="M296" s="4">
        <f>M295/12.87</f>
        <v>0.89743589743589758</v>
      </c>
      <c r="N296" s="4">
        <f>N295/12.87</f>
        <v>0.76146076146076158</v>
      </c>
      <c r="O296" s="4"/>
      <c r="P296" s="4">
        <f>P295/12.87</f>
        <v>0.83372183372183384</v>
      </c>
      <c r="Q296" s="4">
        <f t="shared" ref="Q296:V296" si="390">Q295/12.87</f>
        <v>0.88733488733488741</v>
      </c>
      <c r="R296" s="4">
        <f t="shared" si="390"/>
        <v>0.81585081585081587</v>
      </c>
      <c r="S296" s="4">
        <f t="shared" si="390"/>
        <v>0.72960372960372966</v>
      </c>
      <c r="T296" s="4">
        <f t="shared" si="390"/>
        <v>0.83993783993783999</v>
      </c>
      <c r="U296" s="4">
        <f t="shared" si="390"/>
        <v>0.88578088578088587</v>
      </c>
      <c r="V296" s="4">
        <f t="shared" si="390"/>
        <v>0.91841491841491851</v>
      </c>
      <c r="AE296" s="4">
        <f>AE295/12.87</f>
        <v>1.1965811965811968</v>
      </c>
      <c r="AL296" s="4"/>
    </row>
    <row r="298" spans="1:38" x14ac:dyDescent="0.25">
      <c r="A298" t="s">
        <v>436</v>
      </c>
      <c r="C298">
        <f>C290/C295</f>
        <v>0.32468780019212296</v>
      </c>
      <c r="H298">
        <f>H290/H295</f>
        <v>0.3095944609297725</v>
      </c>
      <c r="J298">
        <f>J290/J295</f>
        <v>0.27433628318584069</v>
      </c>
      <c r="L298">
        <f t="shared" ref="L298:V298" si="391">L290/L295</f>
        <v>0.28933092224231466</v>
      </c>
      <c r="M298">
        <f t="shared" si="391"/>
        <v>0.25974025974025972</v>
      </c>
      <c r="N298">
        <f t="shared" si="391"/>
        <v>0.27551020408163263</v>
      </c>
      <c r="P298">
        <f t="shared" si="391"/>
        <v>0.34482758620689657</v>
      </c>
      <c r="Q298">
        <f t="shared" si="391"/>
        <v>0.38528896672504381</v>
      </c>
      <c r="R298">
        <f t="shared" si="391"/>
        <v>0.42857142857142855</v>
      </c>
      <c r="S298">
        <f t="shared" si="391"/>
        <v>0.4153354632587859</v>
      </c>
      <c r="T298">
        <f t="shared" si="391"/>
        <v>0.43478260869565216</v>
      </c>
      <c r="U298">
        <f t="shared" si="391"/>
        <v>0.3596491228070175</v>
      </c>
      <c r="V298">
        <f t="shared" si="391"/>
        <v>0.35532994923857869</v>
      </c>
    </row>
    <row r="300" spans="1:38" x14ac:dyDescent="0.25">
      <c r="A300" t="s">
        <v>66</v>
      </c>
      <c r="B300">
        <v>4.6500000000000004</v>
      </c>
      <c r="C300">
        <v>4.03</v>
      </c>
      <c r="H300">
        <v>4.08</v>
      </c>
      <c r="I300">
        <v>3.79</v>
      </c>
      <c r="J300">
        <v>4.3899999999999997</v>
      </c>
      <c r="K300">
        <v>4.04</v>
      </c>
      <c r="L300">
        <v>3.75</v>
      </c>
      <c r="M300">
        <v>4.9400000000000004</v>
      </c>
      <c r="N300">
        <v>3.3</v>
      </c>
      <c r="P300">
        <v>4.75</v>
      </c>
      <c r="Q300">
        <v>4.5199999999999996</v>
      </c>
      <c r="R300">
        <v>3.74</v>
      </c>
      <c r="S300">
        <v>4.59</v>
      </c>
      <c r="T300">
        <v>4.09</v>
      </c>
      <c r="U300">
        <v>3.12</v>
      </c>
      <c r="V300">
        <v>3.11</v>
      </c>
      <c r="AE300">
        <v>2.38</v>
      </c>
      <c r="AK300">
        <v>2.46</v>
      </c>
    </row>
    <row r="301" spans="1:38" x14ac:dyDescent="0.25">
      <c r="A301" t="s">
        <v>148</v>
      </c>
      <c r="C301">
        <f>C300</f>
        <v>4.03</v>
      </c>
      <c r="H301">
        <f t="shared" ref="H301:N301" si="392">H300</f>
        <v>4.08</v>
      </c>
      <c r="I301">
        <f t="shared" si="392"/>
        <v>3.79</v>
      </c>
      <c r="J301">
        <f t="shared" si="392"/>
        <v>4.3899999999999997</v>
      </c>
      <c r="K301">
        <f t="shared" si="392"/>
        <v>4.04</v>
      </c>
      <c r="L301">
        <f t="shared" si="392"/>
        <v>3.75</v>
      </c>
      <c r="M301">
        <f t="shared" si="392"/>
        <v>4.9400000000000004</v>
      </c>
      <c r="N301">
        <f t="shared" si="392"/>
        <v>3.3</v>
      </c>
      <c r="P301">
        <f>P300</f>
        <v>4.75</v>
      </c>
      <c r="Q301">
        <f t="shared" ref="Q301:V301" si="393">Q300</f>
        <v>4.5199999999999996</v>
      </c>
      <c r="R301">
        <f t="shared" si="393"/>
        <v>3.74</v>
      </c>
      <c r="S301">
        <f t="shared" si="393"/>
        <v>4.59</v>
      </c>
      <c r="T301">
        <f t="shared" si="393"/>
        <v>4.09</v>
      </c>
      <c r="U301">
        <f t="shared" si="393"/>
        <v>3.12</v>
      </c>
      <c r="V301">
        <f t="shared" si="393"/>
        <v>3.11</v>
      </c>
      <c r="AE301">
        <f t="shared" ref="AE301" si="394">AE300</f>
        <v>2.38</v>
      </c>
      <c r="AK301">
        <f>AK300</f>
        <v>2.46</v>
      </c>
    </row>
    <row r="303" spans="1:38" x14ac:dyDescent="0.25">
      <c r="A303" t="s">
        <v>281</v>
      </c>
      <c r="P303">
        <v>120</v>
      </c>
    </row>
    <row r="305" spans="1:38" x14ac:dyDescent="0.25">
      <c r="A305" t="s">
        <v>282</v>
      </c>
      <c r="Q305">
        <v>3</v>
      </c>
      <c r="R305">
        <v>3</v>
      </c>
      <c r="S305">
        <v>3</v>
      </c>
      <c r="T305">
        <v>3</v>
      </c>
      <c r="U305">
        <v>3</v>
      </c>
      <c r="V305">
        <v>3</v>
      </c>
    </row>
    <row r="307" spans="1:38" x14ac:dyDescent="0.25">
      <c r="A307" t="s">
        <v>283</v>
      </c>
      <c r="Q307">
        <v>3</v>
      </c>
      <c r="R307">
        <v>3</v>
      </c>
      <c r="S307">
        <v>3</v>
      </c>
      <c r="T307">
        <v>3</v>
      </c>
      <c r="U307">
        <v>3</v>
      </c>
      <c r="V307">
        <v>3</v>
      </c>
    </row>
    <row r="309" spans="1:38" x14ac:dyDescent="0.25">
      <c r="A309" t="s">
        <v>67</v>
      </c>
      <c r="M309">
        <v>8.3000000000000007</v>
      </c>
      <c r="N309">
        <v>7.8</v>
      </c>
      <c r="P309">
        <v>8.1999999999999993</v>
      </c>
      <c r="Q309">
        <v>7.6</v>
      </c>
      <c r="R309">
        <v>5.5</v>
      </c>
      <c r="S309">
        <v>5</v>
      </c>
      <c r="T309">
        <v>5.5</v>
      </c>
      <c r="U309">
        <v>6</v>
      </c>
      <c r="V309">
        <v>4.8</v>
      </c>
      <c r="W309">
        <v>5.8</v>
      </c>
    </row>
    <row r="310" spans="1:38" x14ac:dyDescent="0.25">
      <c r="A310" t="s">
        <v>143</v>
      </c>
      <c r="C310" s="3"/>
      <c r="H310" s="3"/>
      <c r="J310" s="3"/>
      <c r="K310" s="3"/>
      <c r="L310" s="3"/>
      <c r="M310" s="3">
        <f t="shared" ref="M310:N310" si="395">M309/0.02714</f>
        <v>305.82166543846722</v>
      </c>
      <c r="N310" s="3">
        <f t="shared" si="395"/>
        <v>287.39867354458363</v>
      </c>
      <c r="O310" s="3"/>
      <c r="P310" s="3">
        <f t="shared" ref="P310:U310" si="396">P309/0.02714</f>
        <v>302.13706705969048</v>
      </c>
      <c r="Q310" s="3">
        <f t="shared" si="396"/>
        <v>280.02947678703021</v>
      </c>
      <c r="R310" s="3">
        <f t="shared" si="396"/>
        <v>202.65291083271921</v>
      </c>
      <c r="S310" s="3">
        <f t="shared" si="396"/>
        <v>184.22991893883565</v>
      </c>
      <c r="T310" s="3">
        <f t="shared" si="396"/>
        <v>202.65291083271921</v>
      </c>
      <c r="U310" s="3">
        <f t="shared" si="396"/>
        <v>221.07590272660281</v>
      </c>
      <c r="V310" s="3">
        <f t="shared" ref="V310:W310" si="397">V309/0.02714</f>
        <v>176.86072218128223</v>
      </c>
      <c r="W310" s="3">
        <f t="shared" si="397"/>
        <v>213.70670596904935</v>
      </c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</row>
    <row r="312" spans="1:38" x14ac:dyDescent="0.25">
      <c r="A312" t="s">
        <v>74</v>
      </c>
      <c r="P312">
        <v>17.71</v>
      </c>
      <c r="Q312">
        <v>15.92</v>
      </c>
      <c r="R312">
        <v>16.13</v>
      </c>
      <c r="S312">
        <v>16.13</v>
      </c>
      <c r="T312">
        <v>16.57</v>
      </c>
      <c r="U312">
        <v>12.1</v>
      </c>
      <c r="V312">
        <v>16.03</v>
      </c>
      <c r="W312">
        <v>15.54</v>
      </c>
    </row>
    <row r="313" spans="1:38" x14ac:dyDescent="0.25">
      <c r="A313" t="s">
        <v>102</v>
      </c>
      <c r="C313" s="3"/>
      <c r="H313" s="3"/>
      <c r="J313" s="3"/>
      <c r="K313" s="3"/>
      <c r="L313" s="3"/>
      <c r="M313" s="3"/>
      <c r="N313" s="3"/>
      <c r="O313" s="3"/>
      <c r="P313" s="3">
        <f t="shared" ref="P313:U313" si="398">P312/0.0347</f>
        <v>510.37463976945247</v>
      </c>
      <c r="Q313" s="3">
        <f t="shared" si="398"/>
        <v>458.7896253602305</v>
      </c>
      <c r="R313" s="3">
        <f t="shared" si="398"/>
        <v>464.84149855907776</v>
      </c>
      <c r="S313" s="3">
        <f t="shared" si="398"/>
        <v>464.84149855907776</v>
      </c>
      <c r="T313" s="3">
        <f t="shared" si="398"/>
        <v>477.52161383285301</v>
      </c>
      <c r="U313" s="3">
        <f t="shared" si="398"/>
        <v>348.70317002881842</v>
      </c>
      <c r="V313" s="3">
        <f t="shared" ref="V313:W313" si="399">V312/0.0347</f>
        <v>461.95965417867438</v>
      </c>
      <c r="W313" s="3">
        <f t="shared" si="399"/>
        <v>447.83861671469737</v>
      </c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</row>
    <row r="314" spans="1:38" x14ac:dyDescent="0.25">
      <c r="A314" t="s">
        <v>144</v>
      </c>
      <c r="C314" s="3"/>
      <c r="H314" s="3"/>
      <c r="J314" s="3"/>
      <c r="K314" s="3"/>
      <c r="L314" s="3"/>
      <c r="M314" s="3"/>
      <c r="N314" s="3"/>
      <c r="O314" s="3"/>
      <c r="P314" s="3">
        <f t="shared" ref="P314:U314" si="400">P313</f>
        <v>510.37463976945247</v>
      </c>
      <c r="Q314" s="3">
        <f t="shared" si="400"/>
        <v>458.7896253602305</v>
      </c>
      <c r="R314" s="3">
        <f t="shared" si="400"/>
        <v>464.84149855907776</v>
      </c>
      <c r="S314" s="3">
        <f t="shared" si="400"/>
        <v>464.84149855907776</v>
      </c>
      <c r="T314" s="3">
        <f t="shared" si="400"/>
        <v>477.52161383285301</v>
      </c>
      <c r="U314" s="3">
        <f t="shared" si="400"/>
        <v>348.70317002881842</v>
      </c>
      <c r="V314" s="3">
        <f t="shared" ref="V314:W314" si="401">V313</f>
        <v>461.95965417867438</v>
      </c>
      <c r="W314" s="3">
        <f t="shared" si="401"/>
        <v>447.83861671469737</v>
      </c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</row>
    <row r="316" spans="1:38" x14ac:dyDescent="0.25">
      <c r="A316" t="s">
        <v>68</v>
      </c>
      <c r="B316">
        <v>50.5</v>
      </c>
      <c r="C316">
        <v>47</v>
      </c>
      <c r="H316">
        <v>52.7</v>
      </c>
      <c r="J316">
        <v>58.4</v>
      </c>
      <c r="P316">
        <v>63.8</v>
      </c>
      <c r="Q316">
        <v>48.7</v>
      </c>
      <c r="R316">
        <v>40.6</v>
      </c>
      <c r="S316">
        <v>41.9</v>
      </c>
      <c r="T316">
        <v>47.8</v>
      </c>
      <c r="U316">
        <v>33.1</v>
      </c>
      <c r="V316">
        <v>34.799999999999997</v>
      </c>
      <c r="W316">
        <v>36.200000000000003</v>
      </c>
    </row>
    <row r="317" spans="1:38" x14ac:dyDescent="0.25">
      <c r="A317" t="s">
        <v>101</v>
      </c>
      <c r="C317">
        <f t="shared" ref="C317" si="402">C316</f>
        <v>47</v>
      </c>
      <c r="H317">
        <f t="shared" ref="H317:J317" si="403">H316</f>
        <v>52.7</v>
      </c>
      <c r="J317">
        <f t="shared" si="403"/>
        <v>58.4</v>
      </c>
      <c r="P317">
        <f t="shared" ref="P317:U317" si="404">P316</f>
        <v>63.8</v>
      </c>
      <c r="Q317">
        <f t="shared" si="404"/>
        <v>48.7</v>
      </c>
      <c r="R317">
        <f t="shared" si="404"/>
        <v>40.6</v>
      </c>
      <c r="S317">
        <f t="shared" si="404"/>
        <v>41.9</v>
      </c>
      <c r="T317">
        <f t="shared" si="404"/>
        <v>47.8</v>
      </c>
      <c r="U317">
        <f t="shared" si="404"/>
        <v>33.1</v>
      </c>
      <c r="V317">
        <f t="shared" ref="V317:W317" si="405">V316</f>
        <v>34.799999999999997</v>
      </c>
      <c r="W317">
        <f t="shared" si="405"/>
        <v>36.200000000000003</v>
      </c>
    </row>
    <row r="318" spans="1:38" x14ac:dyDescent="0.25">
      <c r="A318" t="s">
        <v>120</v>
      </c>
    </row>
    <row r="320" spans="1:38" x14ac:dyDescent="0.25">
      <c r="A320" t="s">
        <v>223</v>
      </c>
      <c r="P320">
        <v>27.8</v>
      </c>
      <c r="Q320">
        <v>32.700000000000003</v>
      </c>
      <c r="R320">
        <v>39.700000000000003</v>
      </c>
      <c r="S320">
        <v>38.5</v>
      </c>
      <c r="T320">
        <v>34.700000000000003</v>
      </c>
      <c r="U320">
        <v>36.6</v>
      </c>
      <c r="V320">
        <v>46.1</v>
      </c>
      <c r="W320">
        <v>42.9</v>
      </c>
    </row>
    <row r="322" spans="1:38" x14ac:dyDescent="0.25">
      <c r="A322" t="s">
        <v>69</v>
      </c>
      <c r="P322">
        <v>409</v>
      </c>
      <c r="Q322">
        <v>329</v>
      </c>
      <c r="R322">
        <v>404</v>
      </c>
      <c r="S322">
        <v>332</v>
      </c>
      <c r="T322">
        <v>338</v>
      </c>
      <c r="U322">
        <v>376</v>
      </c>
      <c r="V322">
        <v>353</v>
      </c>
      <c r="W322">
        <v>330</v>
      </c>
    </row>
    <row r="323" spans="1:38" x14ac:dyDescent="0.25">
      <c r="A323" t="s">
        <v>100</v>
      </c>
      <c r="C323" s="2"/>
      <c r="H323" s="2"/>
      <c r="J323" s="2"/>
      <c r="K323" s="2"/>
      <c r="L323" s="2"/>
      <c r="M323" s="2"/>
      <c r="N323" s="2"/>
      <c r="O323" s="2"/>
      <c r="P323" s="2">
        <f t="shared" ref="P323:U323" si="406">P322/27.6</f>
        <v>14.818840579710145</v>
      </c>
      <c r="Q323" s="2">
        <f t="shared" si="406"/>
        <v>11.920289855072463</v>
      </c>
      <c r="R323" s="2">
        <f t="shared" si="406"/>
        <v>14.637681159420289</v>
      </c>
      <c r="S323" s="2">
        <f t="shared" si="406"/>
        <v>12.028985507246377</v>
      </c>
      <c r="T323" s="2">
        <f t="shared" si="406"/>
        <v>12.246376811594203</v>
      </c>
      <c r="U323" s="2">
        <f t="shared" si="406"/>
        <v>13.623188405797102</v>
      </c>
      <c r="V323" s="2">
        <f t="shared" ref="V323:W323" si="407">V322/27.6</f>
        <v>12.789855072463768</v>
      </c>
      <c r="W323" s="2">
        <f t="shared" si="407"/>
        <v>11.956521739130434</v>
      </c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</row>
    <row r="324" spans="1:38" x14ac:dyDescent="0.25">
      <c r="A324" t="s">
        <v>142</v>
      </c>
      <c r="C324" s="2"/>
      <c r="H324" s="2"/>
      <c r="J324" s="2"/>
      <c r="K324" s="2"/>
      <c r="L324" s="2"/>
      <c r="M324" s="2"/>
      <c r="N324" s="2"/>
      <c r="O324" s="2"/>
      <c r="P324" s="2">
        <f t="shared" ref="P324:U324" si="408">P323</f>
        <v>14.818840579710145</v>
      </c>
      <c r="Q324" s="2">
        <f t="shared" si="408"/>
        <v>11.920289855072463</v>
      </c>
      <c r="R324" s="2">
        <f t="shared" si="408"/>
        <v>14.637681159420289</v>
      </c>
      <c r="S324" s="2">
        <f t="shared" si="408"/>
        <v>12.028985507246377</v>
      </c>
      <c r="T324" s="2">
        <f t="shared" si="408"/>
        <v>12.246376811594203</v>
      </c>
      <c r="U324" s="2">
        <f t="shared" si="408"/>
        <v>13.623188405797102</v>
      </c>
      <c r="V324" s="2">
        <f t="shared" ref="V324:W324" si="409">V323</f>
        <v>12.789855072463768</v>
      </c>
      <c r="W324" s="2">
        <f t="shared" si="409"/>
        <v>11.956521739130434</v>
      </c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</row>
    <row r="326" spans="1:38" x14ac:dyDescent="0.25">
      <c r="A326" t="s">
        <v>284</v>
      </c>
      <c r="P326">
        <v>7.3</v>
      </c>
    </row>
    <row r="328" spans="1:38" x14ac:dyDescent="0.25">
      <c r="A328" t="s">
        <v>70</v>
      </c>
      <c r="B328">
        <v>50.2</v>
      </c>
      <c r="C328">
        <v>63.1</v>
      </c>
      <c r="H328">
        <v>55.7</v>
      </c>
      <c r="J328">
        <v>71</v>
      </c>
      <c r="L328">
        <v>69</v>
      </c>
      <c r="M328">
        <v>70</v>
      </c>
      <c r="N328">
        <v>87</v>
      </c>
      <c r="P328">
        <v>79</v>
      </c>
      <c r="Q328">
        <v>62</v>
      </c>
      <c r="R328">
        <v>61</v>
      </c>
      <c r="S328">
        <v>60</v>
      </c>
      <c r="T328">
        <v>53</v>
      </c>
      <c r="U328">
        <v>56</v>
      </c>
      <c r="V328">
        <v>51</v>
      </c>
      <c r="W328">
        <v>63</v>
      </c>
      <c r="X328">
        <v>62</v>
      </c>
      <c r="Y328">
        <v>45</v>
      </c>
      <c r="Z328">
        <v>45</v>
      </c>
      <c r="AA328">
        <v>28</v>
      </c>
      <c r="AB328">
        <v>29</v>
      </c>
      <c r="AC328">
        <v>29</v>
      </c>
    </row>
    <row r="329" spans="1:38" x14ac:dyDescent="0.25">
      <c r="A329" t="s">
        <v>81</v>
      </c>
      <c r="C329">
        <f t="shared" ref="C329" si="410">C328</f>
        <v>63.1</v>
      </c>
      <c r="H329">
        <f t="shared" ref="H329:J329" si="411">H328</f>
        <v>55.7</v>
      </c>
      <c r="J329">
        <f t="shared" si="411"/>
        <v>71</v>
      </c>
      <c r="L329">
        <f t="shared" ref="L329" si="412">L328</f>
        <v>69</v>
      </c>
      <c r="M329">
        <f t="shared" ref="M329:N329" si="413">M328</f>
        <v>70</v>
      </c>
      <c r="N329">
        <f t="shared" si="413"/>
        <v>87</v>
      </c>
      <c r="P329">
        <f t="shared" ref="P329:U329" si="414">P328</f>
        <v>79</v>
      </c>
      <c r="Q329">
        <f t="shared" si="414"/>
        <v>62</v>
      </c>
      <c r="R329">
        <f t="shared" si="414"/>
        <v>61</v>
      </c>
      <c r="S329">
        <f t="shared" si="414"/>
        <v>60</v>
      </c>
      <c r="T329">
        <f t="shared" si="414"/>
        <v>53</v>
      </c>
      <c r="U329">
        <f t="shared" si="414"/>
        <v>56</v>
      </c>
      <c r="V329">
        <f t="shared" ref="V329:AA329" si="415">V328</f>
        <v>51</v>
      </c>
      <c r="W329">
        <f t="shared" si="415"/>
        <v>63</v>
      </c>
      <c r="X329">
        <f t="shared" ref="X329" si="416">X328</f>
        <v>62</v>
      </c>
      <c r="Y329">
        <f t="shared" ref="Y329" si="417">Y328</f>
        <v>45</v>
      </c>
      <c r="Z329">
        <f t="shared" ref="Z329" si="418">Z328</f>
        <v>45</v>
      </c>
      <c r="AA329">
        <f t="shared" si="415"/>
        <v>28</v>
      </c>
      <c r="AB329">
        <f t="shared" ref="AB329:AC329" si="419">AB328</f>
        <v>29</v>
      </c>
      <c r="AC329">
        <f t="shared" si="419"/>
        <v>29</v>
      </c>
    </row>
    <row r="330" spans="1:38" x14ac:dyDescent="0.25">
      <c r="A330" t="s">
        <v>133</v>
      </c>
      <c r="C330">
        <f t="shared" ref="C330" si="420">C328</f>
        <v>63.1</v>
      </c>
      <c r="H330">
        <f t="shared" ref="H330:J330" si="421">H328</f>
        <v>55.7</v>
      </c>
      <c r="J330">
        <f t="shared" si="421"/>
        <v>71</v>
      </c>
      <c r="L330">
        <f t="shared" ref="L330" si="422">L328</f>
        <v>69</v>
      </c>
      <c r="M330">
        <f t="shared" ref="M330:N330" si="423">M328</f>
        <v>70</v>
      </c>
      <c r="N330">
        <f t="shared" si="423"/>
        <v>87</v>
      </c>
      <c r="P330">
        <f t="shared" ref="P330:U330" si="424">P328</f>
        <v>79</v>
      </c>
      <c r="Q330">
        <f t="shared" si="424"/>
        <v>62</v>
      </c>
      <c r="R330">
        <f t="shared" si="424"/>
        <v>61</v>
      </c>
      <c r="S330">
        <f t="shared" si="424"/>
        <v>60</v>
      </c>
      <c r="T330">
        <f t="shared" si="424"/>
        <v>53</v>
      </c>
      <c r="U330">
        <f t="shared" si="424"/>
        <v>56</v>
      </c>
      <c r="V330">
        <f t="shared" ref="V330:AA330" si="425">V328</f>
        <v>51</v>
      </c>
      <c r="W330">
        <f t="shared" si="425"/>
        <v>63</v>
      </c>
      <c r="X330">
        <f t="shared" ref="X330" si="426">X328</f>
        <v>62</v>
      </c>
      <c r="Y330">
        <f t="shared" ref="Y330" si="427">Y328</f>
        <v>45</v>
      </c>
      <c r="Z330">
        <f t="shared" ref="Z330" si="428">Z328</f>
        <v>45</v>
      </c>
      <c r="AA330">
        <f t="shared" si="425"/>
        <v>28</v>
      </c>
      <c r="AB330">
        <f t="shared" ref="AB330:AC330" si="429">AB328</f>
        <v>29</v>
      </c>
      <c r="AC330">
        <f t="shared" si="429"/>
        <v>29</v>
      </c>
    </row>
    <row r="332" spans="1:38" x14ac:dyDescent="0.25">
      <c r="A332" t="s">
        <v>325</v>
      </c>
      <c r="N332">
        <v>0.15</v>
      </c>
    </row>
    <row r="334" spans="1:38" x14ac:dyDescent="0.25">
      <c r="A334" t="s">
        <v>400</v>
      </c>
      <c r="B334">
        <v>150</v>
      </c>
      <c r="C334">
        <v>161</v>
      </c>
      <c r="H334">
        <v>107</v>
      </c>
      <c r="J334">
        <v>97.1</v>
      </c>
      <c r="K334">
        <v>133</v>
      </c>
      <c r="L334">
        <v>95.1</v>
      </c>
      <c r="M334">
        <v>94.5</v>
      </c>
      <c r="N334">
        <v>126</v>
      </c>
      <c r="Q334">
        <v>151.69999999999999</v>
      </c>
    </row>
    <row r="335" spans="1:38" x14ac:dyDescent="0.25">
      <c r="A335" t="s">
        <v>210</v>
      </c>
      <c r="Q335">
        <f>Q334</f>
        <v>151.69999999999999</v>
      </c>
    </row>
    <row r="336" spans="1:38" x14ac:dyDescent="0.25">
      <c r="A336" t="s">
        <v>233</v>
      </c>
    </row>
    <row r="338" spans="1:23" x14ac:dyDescent="0.25">
      <c r="A338" t="s">
        <v>285</v>
      </c>
      <c r="Q338">
        <v>5</v>
      </c>
    </row>
    <row r="340" spans="1:23" x14ac:dyDescent="0.25">
      <c r="A340" t="s">
        <v>224</v>
      </c>
      <c r="Q340">
        <v>0.7</v>
      </c>
    </row>
    <row r="342" spans="1:23" x14ac:dyDescent="0.25">
      <c r="A342" t="s">
        <v>286</v>
      </c>
      <c r="Q342">
        <v>1.5</v>
      </c>
    </row>
    <row r="344" spans="1:23" x14ac:dyDescent="0.25">
      <c r="A344" t="s">
        <v>71</v>
      </c>
      <c r="C344">
        <v>0.51</v>
      </c>
      <c r="H344">
        <v>0.55000000000000004</v>
      </c>
      <c r="J344">
        <v>0.73</v>
      </c>
      <c r="L344">
        <v>0.44</v>
      </c>
      <c r="M344">
        <v>0.56000000000000005</v>
      </c>
      <c r="N344">
        <v>0.6</v>
      </c>
      <c r="P344">
        <v>0.63</v>
      </c>
      <c r="Q344">
        <v>0.67</v>
      </c>
      <c r="R344">
        <v>0.48</v>
      </c>
      <c r="S344">
        <v>0.72</v>
      </c>
      <c r="T344">
        <v>0.6</v>
      </c>
      <c r="U344">
        <v>0.74</v>
      </c>
    </row>
    <row r="345" spans="1:23" x14ac:dyDescent="0.25">
      <c r="A345" t="s">
        <v>158</v>
      </c>
      <c r="C345">
        <f t="shared" ref="C345" si="430">C344*100</f>
        <v>51</v>
      </c>
      <c r="H345">
        <f t="shared" ref="H345:J345" si="431">H344*100</f>
        <v>55.000000000000007</v>
      </c>
      <c r="J345">
        <f t="shared" si="431"/>
        <v>73</v>
      </c>
      <c r="L345">
        <f t="shared" ref="L345" si="432">L344*100</f>
        <v>44</v>
      </c>
      <c r="M345">
        <f t="shared" ref="M345:N345" si="433">M344*100</f>
        <v>56.000000000000007</v>
      </c>
      <c r="N345">
        <f t="shared" si="433"/>
        <v>60</v>
      </c>
      <c r="P345">
        <f t="shared" ref="P345:U345" si="434">P344*100</f>
        <v>63</v>
      </c>
      <c r="Q345">
        <f t="shared" si="434"/>
        <v>67</v>
      </c>
      <c r="R345">
        <f t="shared" si="434"/>
        <v>48</v>
      </c>
      <c r="S345">
        <f t="shared" si="434"/>
        <v>72</v>
      </c>
      <c r="T345">
        <f t="shared" si="434"/>
        <v>60</v>
      </c>
      <c r="U345">
        <f t="shared" si="434"/>
        <v>74</v>
      </c>
    </row>
    <row r="347" spans="1:23" x14ac:dyDescent="0.25">
      <c r="A347" t="s">
        <v>72</v>
      </c>
      <c r="C347">
        <v>6.4</v>
      </c>
      <c r="H347">
        <v>4.9000000000000004</v>
      </c>
      <c r="J347">
        <v>7.9</v>
      </c>
      <c r="L347">
        <v>4.0999999999999996</v>
      </c>
      <c r="M347">
        <v>5.2</v>
      </c>
      <c r="N347">
        <v>10</v>
      </c>
      <c r="P347">
        <v>5.7</v>
      </c>
      <c r="Q347">
        <v>5</v>
      </c>
      <c r="R347">
        <v>10.6</v>
      </c>
      <c r="S347">
        <v>7.6</v>
      </c>
      <c r="T347">
        <v>15.2</v>
      </c>
      <c r="U347">
        <v>9.6999999999999993</v>
      </c>
    </row>
    <row r="348" spans="1:23" x14ac:dyDescent="0.25">
      <c r="A348" t="s">
        <v>134</v>
      </c>
      <c r="C348">
        <f t="shared" ref="C348" si="435">C347</f>
        <v>6.4</v>
      </c>
      <c r="H348">
        <f t="shared" ref="H348:J348" si="436">H347</f>
        <v>4.9000000000000004</v>
      </c>
      <c r="J348">
        <f t="shared" si="436"/>
        <v>7.9</v>
      </c>
      <c r="L348">
        <f t="shared" ref="L348" si="437">L347</f>
        <v>4.0999999999999996</v>
      </c>
      <c r="M348">
        <f t="shared" ref="M348:N348" si="438">M347</f>
        <v>5.2</v>
      </c>
      <c r="N348">
        <f t="shared" si="438"/>
        <v>10</v>
      </c>
      <c r="P348">
        <f t="shared" ref="P348:U348" si="439">P347</f>
        <v>5.7</v>
      </c>
      <c r="Q348">
        <f t="shared" si="439"/>
        <v>5</v>
      </c>
      <c r="R348">
        <f t="shared" si="439"/>
        <v>10.6</v>
      </c>
      <c r="S348">
        <f t="shared" si="439"/>
        <v>7.6</v>
      </c>
      <c r="T348">
        <f t="shared" si="439"/>
        <v>15.2</v>
      </c>
      <c r="U348">
        <f t="shared" si="439"/>
        <v>9.6999999999999993</v>
      </c>
    </row>
    <row r="350" spans="1:23" x14ac:dyDescent="0.25">
      <c r="A350" t="s">
        <v>329</v>
      </c>
      <c r="M350">
        <v>0.04</v>
      </c>
      <c r="N350">
        <v>0.01</v>
      </c>
    </row>
    <row r="352" spans="1:23" x14ac:dyDescent="0.25">
      <c r="A352" t="s">
        <v>73</v>
      </c>
      <c r="P352">
        <v>12.45</v>
      </c>
      <c r="Q352">
        <v>9.98</v>
      </c>
      <c r="R352">
        <v>12.21</v>
      </c>
      <c r="S352">
        <v>13.16</v>
      </c>
      <c r="T352">
        <v>5.86</v>
      </c>
      <c r="U352">
        <v>9.1199999999999992</v>
      </c>
      <c r="V352">
        <v>8.7200000000000006</v>
      </c>
      <c r="W352">
        <v>11.63</v>
      </c>
    </row>
    <row r="353" spans="1:23" x14ac:dyDescent="0.25">
      <c r="A353" t="s">
        <v>145</v>
      </c>
      <c r="P353">
        <f t="shared" ref="P353:U353" si="440">P352</f>
        <v>12.45</v>
      </c>
      <c r="Q353">
        <f t="shared" si="440"/>
        <v>9.98</v>
      </c>
      <c r="R353">
        <f t="shared" si="440"/>
        <v>12.21</v>
      </c>
      <c r="S353">
        <f t="shared" si="440"/>
        <v>13.16</v>
      </c>
      <c r="T353">
        <f t="shared" si="440"/>
        <v>5.86</v>
      </c>
      <c r="U353">
        <f t="shared" si="440"/>
        <v>9.1199999999999992</v>
      </c>
      <c r="V353">
        <f t="shared" ref="V353:W353" si="441">V352</f>
        <v>8.7200000000000006</v>
      </c>
      <c r="W353">
        <f t="shared" si="441"/>
        <v>11.63</v>
      </c>
    </row>
    <row r="355" spans="1:23" x14ac:dyDescent="0.25">
      <c r="A355" t="s">
        <v>305</v>
      </c>
      <c r="B355">
        <v>47.7</v>
      </c>
      <c r="C355">
        <v>14</v>
      </c>
      <c r="H355">
        <v>23</v>
      </c>
      <c r="J355">
        <v>48</v>
      </c>
      <c r="L355">
        <v>69</v>
      </c>
      <c r="M355">
        <v>53</v>
      </c>
      <c r="N355">
        <v>44</v>
      </c>
      <c r="P355">
        <v>32.1</v>
      </c>
      <c r="Q355">
        <v>25.6</v>
      </c>
      <c r="R355">
        <v>30.7</v>
      </c>
      <c r="S355">
        <v>129</v>
      </c>
      <c r="T355">
        <v>37.9</v>
      </c>
      <c r="U355">
        <v>39</v>
      </c>
    </row>
    <row r="356" spans="1:23" x14ac:dyDescent="0.25">
      <c r="A356" t="s">
        <v>129</v>
      </c>
      <c r="C356">
        <f t="shared" ref="C356" si="442">C355</f>
        <v>14</v>
      </c>
      <c r="H356">
        <f t="shared" ref="H356:J356" si="443">H355</f>
        <v>23</v>
      </c>
      <c r="J356">
        <f t="shared" si="443"/>
        <v>48</v>
      </c>
      <c r="L356">
        <f t="shared" ref="L356" si="444">L355</f>
        <v>69</v>
      </c>
      <c r="M356">
        <f t="shared" ref="M356:N356" si="445">M355</f>
        <v>53</v>
      </c>
      <c r="N356">
        <f t="shared" si="445"/>
        <v>44</v>
      </c>
      <c r="P356">
        <f t="shared" ref="P356:U356" si="446">P355</f>
        <v>32.1</v>
      </c>
      <c r="Q356">
        <f t="shared" si="446"/>
        <v>25.6</v>
      </c>
      <c r="R356">
        <f t="shared" si="446"/>
        <v>30.7</v>
      </c>
      <c r="S356">
        <f t="shared" si="446"/>
        <v>129</v>
      </c>
      <c r="T356">
        <f t="shared" si="446"/>
        <v>37.9</v>
      </c>
      <c r="U356">
        <f t="shared" si="446"/>
        <v>39</v>
      </c>
    </row>
    <row r="358" spans="1:23" x14ac:dyDescent="0.25">
      <c r="A358" t="s">
        <v>128</v>
      </c>
      <c r="C358">
        <v>8.3000000000000007</v>
      </c>
      <c r="H358">
        <v>14.1</v>
      </c>
      <c r="J358">
        <v>17.899999999999999</v>
      </c>
      <c r="L358">
        <v>14.5</v>
      </c>
      <c r="M358">
        <v>7.1</v>
      </c>
      <c r="N358">
        <v>13.5</v>
      </c>
      <c r="P358">
        <v>8</v>
      </c>
      <c r="Q358">
        <v>10.9</v>
      </c>
      <c r="R358">
        <v>8.1</v>
      </c>
      <c r="S358">
        <v>19.5</v>
      </c>
      <c r="T358">
        <v>20.100000000000001</v>
      </c>
      <c r="U358">
        <v>23.2</v>
      </c>
    </row>
    <row r="359" spans="1:23" x14ac:dyDescent="0.25">
      <c r="A359" t="s">
        <v>132</v>
      </c>
      <c r="C359">
        <f t="shared" ref="C359" si="447">C358/10</f>
        <v>0.83000000000000007</v>
      </c>
      <c r="H359">
        <f t="shared" ref="H359:J359" si="448">H358/10</f>
        <v>1.41</v>
      </c>
      <c r="J359">
        <f t="shared" si="448"/>
        <v>1.7899999999999998</v>
      </c>
      <c r="L359">
        <f t="shared" ref="L359" si="449">L358/10</f>
        <v>1.45</v>
      </c>
      <c r="M359">
        <f t="shared" ref="M359:N359" si="450">M358/10</f>
        <v>0.71</v>
      </c>
      <c r="N359">
        <f t="shared" si="450"/>
        <v>1.35</v>
      </c>
      <c r="P359">
        <f t="shared" ref="P359:U359" si="451">P358/10</f>
        <v>0.8</v>
      </c>
      <c r="Q359">
        <f t="shared" si="451"/>
        <v>1.0900000000000001</v>
      </c>
      <c r="R359">
        <f t="shared" si="451"/>
        <v>0.80999999999999994</v>
      </c>
      <c r="S359">
        <f t="shared" si="451"/>
        <v>1.95</v>
      </c>
      <c r="T359">
        <f t="shared" si="451"/>
        <v>2.0100000000000002</v>
      </c>
      <c r="U359">
        <f t="shared" si="451"/>
        <v>2.3199999999999998</v>
      </c>
    </row>
    <row r="361" spans="1:23" x14ac:dyDescent="0.25">
      <c r="A361" t="s">
        <v>268</v>
      </c>
      <c r="C361">
        <v>0.82899999999999996</v>
      </c>
      <c r="H361">
        <v>1.04</v>
      </c>
      <c r="J361">
        <v>0.77</v>
      </c>
      <c r="L361">
        <v>0.79100000000000004</v>
      </c>
      <c r="M361">
        <v>0.73</v>
      </c>
      <c r="N361">
        <v>0.63</v>
      </c>
      <c r="P361">
        <v>0.26</v>
      </c>
    </row>
    <row r="362" spans="1:23" x14ac:dyDescent="0.25">
      <c r="A362" t="s">
        <v>299</v>
      </c>
    </row>
    <row r="364" spans="1:23" x14ac:dyDescent="0.25">
      <c r="A364" t="s">
        <v>269</v>
      </c>
      <c r="B364">
        <v>7.1</v>
      </c>
      <c r="C364">
        <v>25.1</v>
      </c>
      <c r="H364">
        <v>14.1</v>
      </c>
      <c r="J364">
        <v>7.4</v>
      </c>
      <c r="L364">
        <v>14.2</v>
      </c>
      <c r="M364">
        <v>5.3</v>
      </c>
      <c r="N364">
        <v>13.3</v>
      </c>
      <c r="P364">
        <v>7.9</v>
      </c>
    </row>
    <row r="366" spans="1:23" x14ac:dyDescent="0.25">
      <c r="A366" t="s">
        <v>270</v>
      </c>
      <c r="C366">
        <v>0.154</v>
      </c>
      <c r="H366">
        <v>9.2999999999999999E-2</v>
      </c>
      <c r="J366">
        <v>7.2999999999999995E-2</v>
      </c>
      <c r="L366">
        <v>8.7999999999999995E-2</v>
      </c>
      <c r="M366">
        <v>5.2999999999999999E-2</v>
      </c>
      <c r="N366">
        <v>9.2999999999999999E-2</v>
      </c>
      <c r="P366">
        <v>2.8000000000000001E-2</v>
      </c>
    </row>
    <row r="368" spans="1:23" x14ac:dyDescent="0.25">
      <c r="A368" t="s">
        <v>271</v>
      </c>
      <c r="C368">
        <v>297</v>
      </c>
      <c r="H368">
        <v>207</v>
      </c>
      <c r="J368">
        <v>133</v>
      </c>
      <c r="L368">
        <v>171</v>
      </c>
      <c r="M368">
        <v>122</v>
      </c>
      <c r="N368">
        <v>364</v>
      </c>
      <c r="P368">
        <v>35</v>
      </c>
    </row>
    <row r="370" spans="1:16" x14ac:dyDescent="0.25">
      <c r="A370" t="s">
        <v>272</v>
      </c>
      <c r="C370">
        <v>2.36</v>
      </c>
      <c r="H370">
        <v>2.48</v>
      </c>
      <c r="J370">
        <v>1.37</v>
      </c>
      <c r="L370">
        <v>1.79</v>
      </c>
      <c r="M370">
        <v>1.07</v>
      </c>
      <c r="N370">
        <v>2.7</v>
      </c>
      <c r="P370">
        <v>0.83</v>
      </c>
    </row>
    <row r="372" spans="1:16" x14ac:dyDescent="0.25">
      <c r="A372" t="s">
        <v>287</v>
      </c>
      <c r="B372">
        <v>0.69</v>
      </c>
      <c r="C372">
        <v>0.73</v>
      </c>
      <c r="H372">
        <v>0.49</v>
      </c>
      <c r="J372">
        <v>0.59</v>
      </c>
      <c r="L372">
        <v>0.6</v>
      </c>
      <c r="M372">
        <v>0.65</v>
      </c>
      <c r="P372">
        <v>0.74</v>
      </c>
    </row>
    <row r="374" spans="1:16" x14ac:dyDescent="0.25">
      <c r="A374" t="s">
        <v>390</v>
      </c>
      <c r="O374">
        <v>123</v>
      </c>
    </row>
    <row r="376" spans="1:16" x14ac:dyDescent="0.25">
      <c r="A376" t="s">
        <v>389</v>
      </c>
      <c r="M376">
        <v>0.7</v>
      </c>
    </row>
    <row r="378" spans="1:16" x14ac:dyDescent="0.25">
      <c r="A378" t="s">
        <v>432</v>
      </c>
      <c r="B378">
        <v>1.8</v>
      </c>
      <c r="C378">
        <v>1.39</v>
      </c>
      <c r="H378">
        <v>1.52</v>
      </c>
      <c r="J378">
        <v>1.53</v>
      </c>
    </row>
    <row r="379" spans="1:16" x14ac:dyDescent="0.25">
      <c r="A379" t="s">
        <v>435</v>
      </c>
      <c r="B379">
        <f>B378*100</f>
        <v>180</v>
      </c>
      <c r="C379">
        <f>C378*100</f>
        <v>139</v>
      </c>
      <c r="H379">
        <f>H378*100</f>
        <v>152</v>
      </c>
      <c r="J379">
        <f>J378*100</f>
        <v>153</v>
      </c>
    </row>
    <row r="381" spans="1:16" x14ac:dyDescent="0.25">
      <c r="A381" t="s">
        <v>439</v>
      </c>
      <c r="C381">
        <v>12.59</v>
      </c>
    </row>
    <row r="382" spans="1:16" x14ac:dyDescent="0.25">
      <c r="A382" t="s">
        <v>441</v>
      </c>
      <c r="C382">
        <f>C381*100</f>
        <v>1259</v>
      </c>
    </row>
    <row r="384" spans="1:16" x14ac:dyDescent="0.25">
      <c r="A384" t="s">
        <v>385</v>
      </c>
      <c r="B384">
        <v>0.53</v>
      </c>
      <c r="M384">
        <v>0.53</v>
      </c>
    </row>
    <row r="385" spans="1:17" x14ac:dyDescent="0.25">
      <c r="A385" t="s">
        <v>443</v>
      </c>
      <c r="B385">
        <f>B384*100</f>
        <v>53</v>
      </c>
      <c r="M385">
        <f>M384*100</f>
        <v>53</v>
      </c>
    </row>
    <row r="387" spans="1:17" x14ac:dyDescent="0.25">
      <c r="A387" t="s">
        <v>446</v>
      </c>
      <c r="B387">
        <v>41</v>
      </c>
    </row>
    <row r="388" spans="1:17" x14ac:dyDescent="0.25">
      <c r="A388" t="s">
        <v>449</v>
      </c>
    </row>
    <row r="390" spans="1:17" x14ac:dyDescent="0.25">
      <c r="A390" t="s">
        <v>444</v>
      </c>
      <c r="B390">
        <v>380</v>
      </c>
    </row>
    <row r="391" spans="1:17" x14ac:dyDescent="0.25">
      <c r="A391" t="s">
        <v>448</v>
      </c>
    </row>
    <row r="393" spans="1:17" x14ac:dyDescent="0.25">
      <c r="A393" t="s">
        <v>445</v>
      </c>
      <c r="B393">
        <v>9</v>
      </c>
    </row>
    <row r="394" spans="1:17" x14ac:dyDescent="0.25">
      <c r="A394" t="s">
        <v>447</v>
      </c>
    </row>
    <row r="396" spans="1:17" x14ac:dyDescent="0.25">
      <c r="A396" t="s">
        <v>450</v>
      </c>
      <c r="Q396">
        <v>1.75</v>
      </c>
    </row>
    <row r="398" spans="1:17" x14ac:dyDescent="0.25">
      <c r="A398" t="s">
        <v>388</v>
      </c>
      <c r="M398">
        <v>256</v>
      </c>
    </row>
    <row r="400" spans="1:17" x14ac:dyDescent="0.25">
      <c r="A400" t="s">
        <v>301</v>
      </c>
      <c r="O400" t="s">
        <v>302</v>
      </c>
    </row>
    <row r="402" spans="1:23" x14ac:dyDescent="0.25">
      <c r="A402" t="s">
        <v>303</v>
      </c>
      <c r="O402" t="s">
        <v>302</v>
      </c>
    </row>
    <row r="404" spans="1:23" x14ac:dyDescent="0.25">
      <c r="A404" t="s">
        <v>304</v>
      </c>
      <c r="O404" t="s">
        <v>302</v>
      </c>
    </row>
    <row r="406" spans="1:23" x14ac:dyDescent="0.25">
      <c r="A406" t="s">
        <v>159</v>
      </c>
      <c r="C406" t="s">
        <v>440</v>
      </c>
      <c r="D406" t="s">
        <v>438</v>
      </c>
      <c r="H406" t="s">
        <v>437</v>
      </c>
      <c r="J406" t="s">
        <v>433</v>
      </c>
      <c r="K406" t="s">
        <v>408</v>
      </c>
      <c r="L406" t="s">
        <v>407</v>
      </c>
      <c r="M406" t="s">
        <v>382</v>
      </c>
      <c r="N406" t="s">
        <v>326</v>
      </c>
      <c r="O406">
        <v>71</v>
      </c>
      <c r="P406" t="s">
        <v>267</v>
      </c>
      <c r="Q406" t="s">
        <v>212</v>
      </c>
      <c r="R406" t="s">
        <v>213</v>
      </c>
      <c r="S406">
        <v>80</v>
      </c>
      <c r="T406">
        <v>82</v>
      </c>
      <c r="W406">
        <v>78</v>
      </c>
    </row>
    <row r="408" spans="1:23" x14ac:dyDescent="0.25">
      <c r="A408" t="s">
        <v>399</v>
      </c>
      <c r="C408">
        <f>(78.3 + 77.4) /2/1.78/1.78</f>
        <v>24.570761267516723</v>
      </c>
      <c r="D408">
        <f>(80.3 + 78.6) /2/1.78/1.78</f>
        <v>25.075748011614689</v>
      </c>
      <c r="H408">
        <f>(75 + 73.6) /2/1.78/1.78</f>
        <v>23.450321929049363</v>
      </c>
      <c r="J408">
        <f>(74.4 + 73.2) /2/1.78/1.78</f>
        <v>23.29251357151875</v>
      </c>
      <c r="K408">
        <f>(74.3 + 72.6) /2/1.78/1.78</f>
        <v>23.182047721247312</v>
      </c>
      <c r="L408">
        <f>(73.3 + 71.5) /2/1.78/1.78</f>
        <v>22.850650170433028</v>
      </c>
      <c r="M408">
        <f>(74.2 + 72.6) /2/1.78/1.78</f>
        <v>23.166266885494256</v>
      </c>
    </row>
    <row r="410" spans="1:23" x14ac:dyDescent="0.25">
      <c r="A410" t="s">
        <v>162</v>
      </c>
      <c r="C410">
        <v>38.65</v>
      </c>
      <c r="H410">
        <v>36.35</v>
      </c>
      <c r="J410">
        <v>34.39</v>
      </c>
      <c r="L410">
        <v>35.32</v>
      </c>
      <c r="M410">
        <v>36.78</v>
      </c>
      <c r="N410">
        <v>39.299999999999997</v>
      </c>
      <c r="P410">
        <v>41.64</v>
      </c>
      <c r="Q410">
        <v>34.270000000000003</v>
      </c>
      <c r="R410">
        <v>32.47</v>
      </c>
      <c r="S410">
        <v>34.49</v>
      </c>
    </row>
    <row r="412" spans="1:23" x14ac:dyDescent="0.25">
      <c r="A412" t="s">
        <v>216</v>
      </c>
      <c r="M412">
        <v>32</v>
      </c>
      <c r="N412">
        <v>37</v>
      </c>
      <c r="P412">
        <v>50</v>
      </c>
      <c r="Q412">
        <v>34</v>
      </c>
    </row>
    <row r="414" spans="1:23" x14ac:dyDescent="0.25">
      <c r="A414" t="s">
        <v>434</v>
      </c>
      <c r="C414">
        <v>36.51</v>
      </c>
      <c r="H414">
        <v>30.8</v>
      </c>
      <c r="J414">
        <v>35.049999999999997</v>
      </c>
      <c r="L414">
        <v>35.07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A218-4FC3-46F7-860B-6A99DE6BCF60}">
  <dimension ref="A1:E54"/>
  <sheetViews>
    <sheetView workbookViewId="0">
      <selection activeCell="B5" sqref="B5"/>
    </sheetView>
  </sheetViews>
  <sheetFormatPr defaultRowHeight="15" x14ac:dyDescent="0.25"/>
  <cols>
    <col min="1" max="1" width="92" bestFit="1" customWidth="1"/>
    <col min="2" max="2" width="20.7109375" customWidth="1"/>
    <col min="3" max="3" width="8.42578125" bestFit="1" customWidth="1"/>
    <col min="4" max="4" width="15.28515625" bestFit="1" customWidth="1"/>
  </cols>
  <sheetData>
    <row r="1" spans="1:5" x14ac:dyDescent="0.25">
      <c r="B1" s="1">
        <v>45294</v>
      </c>
      <c r="C1" s="1">
        <v>45208</v>
      </c>
      <c r="D1" s="1">
        <v>45082</v>
      </c>
    </row>
    <row r="2" spans="1:5" x14ac:dyDescent="0.25">
      <c r="A2" t="s">
        <v>331</v>
      </c>
      <c r="B2">
        <v>74.099999999999994</v>
      </c>
      <c r="C2">
        <v>45.1</v>
      </c>
      <c r="D2">
        <v>22.4</v>
      </c>
    </row>
    <row r="3" spans="1:5" x14ac:dyDescent="0.25">
      <c r="A3" t="s">
        <v>332</v>
      </c>
      <c r="B3">
        <v>174</v>
      </c>
      <c r="C3">
        <v>385.7</v>
      </c>
      <c r="D3">
        <v>220.7</v>
      </c>
      <c r="E3" t="s">
        <v>378</v>
      </c>
    </row>
    <row r="4" spans="1:5" x14ac:dyDescent="0.25">
      <c r="A4" t="s">
        <v>333</v>
      </c>
      <c r="B4">
        <v>69.599999999999994</v>
      </c>
      <c r="C4">
        <v>69.900000000000006</v>
      </c>
      <c r="D4">
        <v>48.8</v>
      </c>
      <c r="E4" t="s">
        <v>378</v>
      </c>
    </row>
    <row r="5" spans="1:5" x14ac:dyDescent="0.25">
      <c r="A5" t="s">
        <v>334</v>
      </c>
      <c r="B5">
        <v>21.9</v>
      </c>
      <c r="C5">
        <v>50.63</v>
      </c>
      <c r="D5">
        <v>32.53</v>
      </c>
      <c r="E5" t="s">
        <v>378</v>
      </c>
    </row>
    <row r="6" spans="1:5" x14ac:dyDescent="0.25">
      <c r="A6" t="s">
        <v>335</v>
      </c>
      <c r="B6">
        <v>160</v>
      </c>
      <c r="C6">
        <v>159.9</v>
      </c>
      <c r="D6">
        <v>118</v>
      </c>
    </row>
    <row r="7" spans="1:5" x14ac:dyDescent="0.25">
      <c r="A7" t="s">
        <v>336</v>
      </c>
      <c r="B7">
        <v>40</v>
      </c>
      <c r="C7">
        <v>184.4</v>
      </c>
      <c r="D7">
        <v>134.30000000000001</v>
      </c>
      <c r="E7" t="s">
        <v>378</v>
      </c>
    </row>
    <row r="8" spans="1:5" x14ac:dyDescent="0.25">
      <c r="A8" t="s">
        <v>337</v>
      </c>
      <c r="B8">
        <v>88.1</v>
      </c>
      <c r="C8">
        <v>187.3</v>
      </c>
      <c r="D8">
        <v>130.19999999999999</v>
      </c>
      <c r="E8" t="s">
        <v>378</v>
      </c>
    </row>
    <row r="9" spans="1:5" x14ac:dyDescent="0.25">
      <c r="A9" t="s">
        <v>338</v>
      </c>
      <c r="B9">
        <v>26.9</v>
      </c>
      <c r="C9">
        <v>86.1</v>
      </c>
      <c r="D9">
        <v>85.6</v>
      </c>
      <c r="E9" s="45" t="s">
        <v>381</v>
      </c>
    </row>
    <row r="10" spans="1:5" x14ac:dyDescent="0.25">
      <c r="A10" t="s">
        <v>339</v>
      </c>
      <c r="B10">
        <v>72.3</v>
      </c>
      <c r="C10">
        <v>81.5</v>
      </c>
      <c r="D10">
        <v>39.700000000000003</v>
      </c>
      <c r="E10" t="s">
        <v>378</v>
      </c>
    </row>
    <row r="11" spans="1:5" x14ac:dyDescent="0.25">
      <c r="A11" t="s">
        <v>340</v>
      </c>
      <c r="C11">
        <v>74.95</v>
      </c>
      <c r="D11">
        <v>46.1</v>
      </c>
    </row>
    <row r="12" spans="1:5" x14ac:dyDescent="0.25">
      <c r="A12" t="s">
        <v>341</v>
      </c>
      <c r="B12">
        <v>283</v>
      </c>
      <c r="C12">
        <v>512</v>
      </c>
      <c r="D12">
        <v>244</v>
      </c>
    </row>
    <row r="13" spans="1:5" x14ac:dyDescent="0.25">
      <c r="A13" t="s">
        <v>342</v>
      </c>
      <c r="B13">
        <v>34</v>
      </c>
      <c r="C13">
        <v>64.7</v>
      </c>
      <c r="D13">
        <v>39.9</v>
      </c>
    </row>
    <row r="14" spans="1:5" x14ac:dyDescent="0.25">
      <c r="A14" t="s">
        <v>343</v>
      </c>
      <c r="B14">
        <v>7.9</v>
      </c>
      <c r="C14" t="s">
        <v>306</v>
      </c>
      <c r="D14" t="s">
        <v>306</v>
      </c>
    </row>
    <row r="15" spans="1:5" x14ac:dyDescent="0.25">
      <c r="A15" t="s">
        <v>344</v>
      </c>
      <c r="B15">
        <v>397</v>
      </c>
      <c r="C15">
        <v>339.4</v>
      </c>
      <c r="D15">
        <v>257.60000000000002</v>
      </c>
    </row>
    <row r="16" spans="1:5" x14ac:dyDescent="0.25">
      <c r="A16" t="s">
        <v>345</v>
      </c>
      <c r="B16">
        <v>317</v>
      </c>
      <c r="C16">
        <v>718</v>
      </c>
      <c r="D16">
        <v>629.1</v>
      </c>
    </row>
    <row r="17" spans="1:5" x14ac:dyDescent="0.25">
      <c r="A17" t="s">
        <v>379</v>
      </c>
      <c r="B17">
        <v>59.4</v>
      </c>
      <c r="C17">
        <v>44.1</v>
      </c>
      <c r="D17" t="s">
        <v>328</v>
      </c>
      <c r="E17" t="s">
        <v>380</v>
      </c>
    </row>
    <row r="18" spans="1:5" x14ac:dyDescent="0.25">
      <c r="A18" t="s">
        <v>346</v>
      </c>
      <c r="B18">
        <v>164</v>
      </c>
      <c r="C18">
        <v>227.6</v>
      </c>
      <c r="D18">
        <v>144.30000000000001</v>
      </c>
    </row>
    <row r="19" spans="1:5" x14ac:dyDescent="0.25">
      <c r="A19" t="s">
        <v>347</v>
      </c>
      <c r="B19">
        <v>74.3</v>
      </c>
      <c r="C19">
        <v>125.3</v>
      </c>
      <c r="D19">
        <v>113</v>
      </c>
    </row>
    <row r="20" spans="1:5" x14ac:dyDescent="0.25">
      <c r="A20" t="s">
        <v>348</v>
      </c>
      <c r="B20">
        <v>95</v>
      </c>
      <c r="C20">
        <v>105.1</v>
      </c>
      <c r="D20">
        <v>42.1</v>
      </c>
    </row>
    <row r="21" spans="1:5" x14ac:dyDescent="0.25">
      <c r="A21" t="s">
        <v>349</v>
      </c>
      <c r="B21">
        <v>55.9</v>
      </c>
      <c r="C21">
        <v>91.8</v>
      </c>
      <c r="D21">
        <v>42.8</v>
      </c>
    </row>
    <row r="22" spans="1:5" x14ac:dyDescent="0.25">
      <c r="A22" t="s">
        <v>350</v>
      </c>
      <c r="B22">
        <v>0.9</v>
      </c>
      <c r="C22" t="s">
        <v>307</v>
      </c>
      <c r="D22" t="s">
        <v>307</v>
      </c>
    </row>
    <row r="23" spans="1:5" x14ac:dyDescent="0.25">
      <c r="A23" t="s">
        <v>351</v>
      </c>
      <c r="B23">
        <v>0.82</v>
      </c>
      <c r="C23" t="s">
        <v>309</v>
      </c>
      <c r="D23" t="s">
        <v>309</v>
      </c>
    </row>
    <row r="24" spans="1:5" x14ac:dyDescent="0.25">
      <c r="A24" t="s">
        <v>352</v>
      </c>
      <c r="B24">
        <v>37.4</v>
      </c>
      <c r="C24">
        <v>65.2</v>
      </c>
      <c r="D24">
        <v>49.8</v>
      </c>
    </row>
    <row r="25" spans="1:5" x14ac:dyDescent="0.25">
      <c r="A25" t="s">
        <v>353</v>
      </c>
      <c r="B25">
        <v>32.4</v>
      </c>
      <c r="C25">
        <v>27.85</v>
      </c>
      <c r="D25">
        <v>33.950000000000003</v>
      </c>
    </row>
    <row r="26" spans="1:5" x14ac:dyDescent="0.25">
      <c r="A26" t="s">
        <v>354</v>
      </c>
      <c r="C26" t="s">
        <v>310</v>
      </c>
      <c r="D26" t="s">
        <v>310</v>
      </c>
    </row>
    <row r="27" spans="1:5" x14ac:dyDescent="0.25">
      <c r="A27" t="s">
        <v>355</v>
      </c>
      <c r="C27" t="s">
        <v>308</v>
      </c>
      <c r="D27" t="s">
        <v>308</v>
      </c>
    </row>
    <row r="28" spans="1:5" x14ac:dyDescent="0.25">
      <c r="A28" t="s">
        <v>401</v>
      </c>
      <c r="B28">
        <v>8.6999999999999993</v>
      </c>
    </row>
    <row r="29" spans="1:5" x14ac:dyDescent="0.25">
      <c r="A29" t="s">
        <v>356</v>
      </c>
      <c r="B29">
        <v>0.09</v>
      </c>
      <c r="C29" t="s">
        <v>311</v>
      </c>
      <c r="D29" t="s">
        <v>311</v>
      </c>
    </row>
    <row r="30" spans="1:5" x14ac:dyDescent="0.25">
      <c r="A30" t="s">
        <v>357</v>
      </c>
      <c r="C30" t="s">
        <v>312</v>
      </c>
      <c r="D30" t="s">
        <v>312</v>
      </c>
    </row>
    <row r="31" spans="1:5" x14ac:dyDescent="0.25">
      <c r="A31" t="s">
        <v>358</v>
      </c>
      <c r="B31">
        <v>21.6</v>
      </c>
      <c r="C31">
        <v>20.73</v>
      </c>
      <c r="D31">
        <v>60</v>
      </c>
    </row>
    <row r="32" spans="1:5" x14ac:dyDescent="0.25">
      <c r="A32" t="s">
        <v>359</v>
      </c>
      <c r="B32">
        <v>1.1399999999999999</v>
      </c>
      <c r="C32" t="s">
        <v>313</v>
      </c>
      <c r="D32" t="s">
        <v>313</v>
      </c>
    </row>
    <row r="33" spans="1:5" x14ac:dyDescent="0.25">
      <c r="A33" t="s">
        <v>360</v>
      </c>
      <c r="B33">
        <v>4.09</v>
      </c>
      <c r="C33">
        <v>5.0599999999999996</v>
      </c>
      <c r="D33">
        <v>13.66</v>
      </c>
    </row>
    <row r="34" spans="1:5" x14ac:dyDescent="0.25">
      <c r="A34" t="s">
        <v>361</v>
      </c>
      <c r="C34" t="s">
        <v>314</v>
      </c>
      <c r="D34" t="s">
        <v>314</v>
      </c>
    </row>
    <row r="35" spans="1:5" x14ac:dyDescent="0.25">
      <c r="A35" t="s">
        <v>362</v>
      </c>
      <c r="B35">
        <v>1.27</v>
      </c>
      <c r="C35" t="s">
        <v>315</v>
      </c>
      <c r="D35" t="s">
        <v>315</v>
      </c>
    </row>
    <row r="36" spans="1:5" x14ac:dyDescent="0.25">
      <c r="A36" t="s">
        <v>363</v>
      </c>
      <c r="B36">
        <v>10.9</v>
      </c>
      <c r="C36">
        <v>7.5</v>
      </c>
      <c r="D36">
        <v>7.59</v>
      </c>
      <c r="E36" t="s">
        <v>380</v>
      </c>
    </row>
    <row r="37" spans="1:5" x14ac:dyDescent="0.25">
      <c r="A37" t="s">
        <v>365</v>
      </c>
      <c r="B37">
        <v>5.0599999999999996</v>
      </c>
      <c r="C37">
        <v>5.9</v>
      </c>
      <c r="D37">
        <v>2.5</v>
      </c>
      <c r="E37" t="s">
        <v>380</v>
      </c>
    </row>
    <row r="38" spans="1:5" x14ac:dyDescent="0.25">
      <c r="A38" t="s">
        <v>364</v>
      </c>
      <c r="B38">
        <v>3.67</v>
      </c>
      <c r="C38">
        <v>18.600000000000001</v>
      </c>
      <c r="D38">
        <v>11.6</v>
      </c>
      <c r="E38" t="s">
        <v>380</v>
      </c>
    </row>
    <row r="39" spans="1:5" x14ac:dyDescent="0.25">
      <c r="A39" t="s">
        <v>366</v>
      </c>
      <c r="B39">
        <v>0.17</v>
      </c>
      <c r="C39" t="s">
        <v>316</v>
      </c>
      <c r="D39" t="s">
        <v>316</v>
      </c>
    </row>
    <row r="40" spans="1:5" x14ac:dyDescent="0.25">
      <c r="A40" t="s">
        <v>367</v>
      </c>
      <c r="B40">
        <v>4.9800000000000004</v>
      </c>
      <c r="C40" t="s">
        <v>386</v>
      </c>
      <c r="D40">
        <v>8.01</v>
      </c>
    </row>
    <row r="41" spans="1:5" x14ac:dyDescent="0.25">
      <c r="A41" t="s">
        <v>368</v>
      </c>
      <c r="B41">
        <v>0.28000000000000003</v>
      </c>
      <c r="C41" t="s">
        <v>317</v>
      </c>
      <c r="D41" t="s">
        <v>317</v>
      </c>
    </row>
    <row r="42" spans="1:5" x14ac:dyDescent="0.25">
      <c r="A42" t="s">
        <v>369</v>
      </c>
      <c r="B42">
        <v>0.62</v>
      </c>
      <c r="C42">
        <v>14.14</v>
      </c>
      <c r="D42">
        <v>13.37</v>
      </c>
    </row>
    <row r="43" spans="1:5" x14ac:dyDescent="0.25">
      <c r="A43" t="s">
        <v>370</v>
      </c>
      <c r="B43">
        <v>8.8000000000000007</v>
      </c>
      <c r="C43">
        <v>52.05</v>
      </c>
      <c r="D43">
        <v>27.15</v>
      </c>
    </row>
    <row r="44" spans="1:5" x14ac:dyDescent="0.25">
      <c r="A44" t="s">
        <v>371</v>
      </c>
      <c r="B44">
        <v>1.05</v>
      </c>
      <c r="C44" t="s">
        <v>387</v>
      </c>
      <c r="D44">
        <v>4.5199999999999996</v>
      </c>
    </row>
    <row r="45" spans="1:5" x14ac:dyDescent="0.25">
      <c r="A45" t="s">
        <v>372</v>
      </c>
      <c r="B45">
        <v>0.24</v>
      </c>
      <c r="C45" t="s">
        <v>318</v>
      </c>
      <c r="D45" t="s">
        <v>318</v>
      </c>
    </row>
    <row r="46" spans="1:5" x14ac:dyDescent="0.25">
      <c r="A46" t="s">
        <v>373</v>
      </c>
      <c r="B46">
        <v>3</v>
      </c>
      <c r="C46" t="s">
        <v>319</v>
      </c>
      <c r="D46" t="s">
        <v>319</v>
      </c>
    </row>
    <row r="47" spans="1:5" x14ac:dyDescent="0.25">
      <c r="A47" t="s">
        <v>374</v>
      </c>
      <c r="B47">
        <v>0.82</v>
      </c>
      <c r="C47" t="s">
        <v>320</v>
      </c>
      <c r="D47" t="s">
        <v>320</v>
      </c>
    </row>
    <row r="48" spans="1:5" x14ac:dyDescent="0.25">
      <c r="A48" t="s">
        <v>375</v>
      </c>
      <c r="B48">
        <v>19</v>
      </c>
      <c r="C48">
        <v>11.91</v>
      </c>
      <c r="D48" t="s">
        <v>321</v>
      </c>
    </row>
    <row r="49" spans="1:4" x14ac:dyDescent="0.25">
      <c r="A49" t="s">
        <v>376</v>
      </c>
      <c r="B49">
        <v>1.64</v>
      </c>
      <c r="C49">
        <v>1.66</v>
      </c>
      <c r="D49" t="s">
        <v>322</v>
      </c>
    </row>
    <row r="50" spans="1:4" x14ac:dyDescent="0.25">
      <c r="A50" t="s">
        <v>377</v>
      </c>
      <c r="C50" t="s">
        <v>323</v>
      </c>
      <c r="D50" t="s">
        <v>323</v>
      </c>
    </row>
    <row r="51" spans="1:4" x14ac:dyDescent="0.25">
      <c r="A51" t="s">
        <v>402</v>
      </c>
      <c r="B51">
        <v>262</v>
      </c>
    </row>
    <row r="52" spans="1:4" x14ac:dyDescent="0.25">
      <c r="A52" t="s">
        <v>403</v>
      </c>
      <c r="B52">
        <v>281</v>
      </c>
    </row>
    <row r="53" spans="1:4" x14ac:dyDescent="0.25">
      <c r="A53" t="s">
        <v>404</v>
      </c>
      <c r="B53">
        <v>0</v>
      </c>
    </row>
    <row r="54" spans="1:4" x14ac:dyDescent="0.25">
      <c r="A54" t="s">
        <v>405</v>
      </c>
      <c r="B54"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96F5C-2AEB-4FAA-91BF-E25BBD7D2FAC}">
  <dimension ref="A1:G36"/>
  <sheetViews>
    <sheetView workbookViewId="0">
      <selection activeCell="G37" sqref="G37"/>
    </sheetView>
  </sheetViews>
  <sheetFormatPr defaultRowHeight="15" x14ac:dyDescent="0.25"/>
  <cols>
    <col min="1" max="1" width="35.42578125" bestFit="1" customWidth="1"/>
    <col min="2" max="2" width="12.5703125" customWidth="1"/>
    <col min="3" max="3" width="9.85546875" customWidth="1"/>
  </cols>
  <sheetData>
    <row r="1" spans="1:7" x14ac:dyDescent="0.25">
      <c r="A1" s="1">
        <f>'Blood work'!$C$1</f>
        <v>45642</v>
      </c>
      <c r="B1" s="4">
        <f>YEARFRAC(DATE(1975,10,10),A1)</f>
        <v>49.18333333333333</v>
      </c>
      <c r="C1" s="43" t="s">
        <v>391</v>
      </c>
    </row>
    <row r="2" spans="1:7" x14ac:dyDescent="0.25">
      <c r="A2" s="1" t="s">
        <v>327</v>
      </c>
      <c r="B2" s="46">
        <f>'Blood work'!$C410</f>
        <v>38.65</v>
      </c>
      <c r="C2" s="43">
        <f>'Blood work'!$C410-'Blood work'!H410</f>
        <v>2.2999999999999972</v>
      </c>
    </row>
    <row r="3" spans="1:7" x14ac:dyDescent="0.25">
      <c r="A3" s="1" t="s">
        <v>434</v>
      </c>
      <c r="B3" s="46">
        <f>'Blood work'!$C414</f>
        <v>36.51</v>
      </c>
      <c r="C3" s="31">
        <f>'Blood work'!$C414-'Blood work'!H414</f>
        <v>5.7099999999999973</v>
      </c>
    </row>
    <row r="4" spans="1:7" x14ac:dyDescent="0.25">
      <c r="C4" s="43"/>
    </row>
    <row r="5" spans="1:7" x14ac:dyDescent="0.25">
      <c r="A5" s="43" t="s">
        <v>238</v>
      </c>
      <c r="B5" s="43" t="s">
        <v>176</v>
      </c>
      <c r="C5" s="43"/>
      <c r="D5" s="43" t="s">
        <v>392</v>
      </c>
      <c r="E5" s="43" t="s">
        <v>393</v>
      </c>
      <c r="F5" s="43" t="s">
        <v>394</v>
      </c>
      <c r="G5" s="43" t="s">
        <v>395</v>
      </c>
    </row>
    <row r="6" spans="1:7" x14ac:dyDescent="0.25">
      <c r="A6" t="s">
        <v>165</v>
      </c>
      <c r="B6" t="s">
        <v>237</v>
      </c>
      <c r="C6" s="47">
        <f>'Blood work'!$C183</f>
        <v>4.4000000000000004</v>
      </c>
      <c r="D6">
        <v>1.1200000000000001</v>
      </c>
      <c r="E6">
        <v>36</v>
      </c>
      <c r="F6">
        <v>0.12</v>
      </c>
      <c r="G6">
        <v>16</v>
      </c>
    </row>
    <row r="7" spans="1:7" x14ac:dyDescent="0.25">
      <c r="A7" t="s">
        <v>166</v>
      </c>
      <c r="B7" t="s">
        <v>177</v>
      </c>
      <c r="C7" s="48">
        <f>'Blood work'!$C209</f>
        <v>0.91628959276018096</v>
      </c>
      <c r="D7">
        <v>1.04</v>
      </c>
      <c r="E7">
        <v>56.8</v>
      </c>
      <c r="F7">
        <v>-0.03</v>
      </c>
      <c r="G7">
        <v>-2.2999999999999998</v>
      </c>
    </row>
    <row r="8" spans="1:7" x14ac:dyDescent="0.25">
      <c r="A8" t="s">
        <v>235</v>
      </c>
      <c r="B8" t="s">
        <v>177</v>
      </c>
      <c r="C8" s="49">
        <f>'Blood work'!$C200</f>
        <v>90.090090090090087</v>
      </c>
      <c r="D8">
        <v>1</v>
      </c>
      <c r="E8">
        <v>30.5</v>
      </c>
      <c r="F8">
        <v>0</v>
      </c>
      <c r="G8">
        <v>9</v>
      </c>
    </row>
    <row r="9" spans="1:7" x14ac:dyDescent="0.25">
      <c r="A9" t="s">
        <v>168</v>
      </c>
      <c r="B9" t="s">
        <v>178</v>
      </c>
      <c r="C9" s="47">
        <f>'Blood work'!$C160</f>
        <v>0.4</v>
      </c>
    </row>
    <row r="10" spans="1:7" x14ac:dyDescent="0.25">
      <c r="A10" t="s">
        <v>266</v>
      </c>
      <c r="B10" t="s">
        <v>179</v>
      </c>
      <c r="C10" s="47">
        <f>'Blood work'!$C121</f>
        <v>34.5</v>
      </c>
      <c r="E10">
        <v>20</v>
      </c>
      <c r="G10">
        <v>0</v>
      </c>
    </row>
    <row r="11" spans="1:7" x14ac:dyDescent="0.25">
      <c r="A11" t="s">
        <v>263</v>
      </c>
      <c r="B11" t="s">
        <v>180</v>
      </c>
      <c r="C11" s="47">
        <f>'Blood work'!$C88</f>
        <v>92</v>
      </c>
      <c r="D11">
        <v>1</v>
      </c>
      <c r="E11">
        <v>100</v>
      </c>
      <c r="F11">
        <v>-0.16</v>
      </c>
      <c r="G11">
        <v>0</v>
      </c>
    </row>
    <row r="12" spans="1:7" x14ac:dyDescent="0.25">
      <c r="A12" t="s">
        <v>264</v>
      </c>
      <c r="B12" t="s">
        <v>179</v>
      </c>
      <c r="C12" s="47">
        <f>'Blood work'!$C92</f>
        <v>12.2</v>
      </c>
      <c r="D12">
        <v>1.05</v>
      </c>
      <c r="E12">
        <v>20</v>
      </c>
      <c r="F12">
        <v>0</v>
      </c>
      <c r="G12">
        <v>0</v>
      </c>
    </row>
    <row r="13" spans="1:7" x14ac:dyDescent="0.25">
      <c r="A13" t="s">
        <v>236</v>
      </c>
      <c r="B13" t="s">
        <v>181</v>
      </c>
      <c r="C13" s="47">
        <f>'Blood work'!$C243</f>
        <v>78</v>
      </c>
      <c r="D13">
        <v>1.75</v>
      </c>
      <c r="F13">
        <v>0.12</v>
      </c>
    </row>
    <row r="14" spans="1:7" x14ac:dyDescent="0.25">
      <c r="A14" t="s">
        <v>173</v>
      </c>
      <c r="B14" t="s">
        <v>182</v>
      </c>
      <c r="C14" s="47">
        <f>'Blood work'!$C109</f>
        <v>4.43</v>
      </c>
      <c r="D14">
        <v>1.04</v>
      </c>
      <c r="F14">
        <v>0</v>
      </c>
    </row>
    <row r="15" spans="1:7" x14ac:dyDescent="0.25">
      <c r="A15" t="s">
        <v>261</v>
      </c>
      <c r="B15" t="s">
        <v>177</v>
      </c>
      <c r="C15" s="50">
        <f>'Blood work'!$C213</f>
        <v>15.181127721638843</v>
      </c>
      <c r="D15">
        <v>1.08</v>
      </c>
      <c r="E15">
        <v>51.6</v>
      </c>
      <c r="F15">
        <v>-0.03</v>
      </c>
      <c r="G15">
        <v>-3.2</v>
      </c>
    </row>
    <row r="16" spans="1:7" x14ac:dyDescent="0.25">
      <c r="A16" t="s">
        <v>253</v>
      </c>
      <c r="B16" t="s">
        <v>177</v>
      </c>
      <c r="C16" s="49">
        <f>'Blood work'!$C229</f>
        <v>140.92664092664091</v>
      </c>
      <c r="E16">
        <v>20</v>
      </c>
      <c r="G16">
        <v>0</v>
      </c>
    </row>
    <row r="17" spans="1:7" x14ac:dyDescent="0.25">
      <c r="A17" t="s">
        <v>239</v>
      </c>
      <c r="B17" t="s">
        <v>237</v>
      </c>
      <c r="C17" s="47">
        <f>'Blood work'!$C219</f>
        <v>6.9</v>
      </c>
      <c r="E17">
        <v>67.3</v>
      </c>
      <c r="G17">
        <v>-5.3</v>
      </c>
    </row>
    <row r="18" spans="1:7" x14ac:dyDescent="0.25">
      <c r="A18" t="s">
        <v>240</v>
      </c>
      <c r="B18" t="s">
        <v>189</v>
      </c>
      <c r="C18" s="47">
        <f>'Blood work'!$C257</f>
        <v>132</v>
      </c>
      <c r="D18">
        <v>1.23</v>
      </c>
      <c r="F18">
        <v>0</v>
      </c>
    </row>
    <row r="19" spans="1:7" x14ac:dyDescent="0.25">
      <c r="A19" t="s">
        <v>241</v>
      </c>
      <c r="B19" t="s">
        <v>237</v>
      </c>
      <c r="C19" s="47">
        <f>'Blood work'!$C81</f>
        <v>13.5</v>
      </c>
      <c r="D19">
        <v>1.1599999999999999</v>
      </c>
      <c r="F19">
        <v>-0.38</v>
      </c>
    </row>
    <row r="20" spans="1:7" x14ac:dyDescent="0.25">
      <c r="A20" t="s">
        <v>242</v>
      </c>
      <c r="B20" t="s">
        <v>177</v>
      </c>
      <c r="C20" s="48">
        <f>'Blood work'!$C189</f>
        <v>0.59064327485380108</v>
      </c>
    </row>
    <row r="21" spans="1:7" x14ac:dyDescent="0.25">
      <c r="A21" t="s">
        <v>243</v>
      </c>
      <c r="B21" t="s">
        <v>177</v>
      </c>
      <c r="C21" s="49">
        <f>'Blood work'!$C222</f>
        <v>42.477876106194692</v>
      </c>
      <c r="D21">
        <v>1</v>
      </c>
      <c r="F21">
        <v>0</v>
      </c>
    </row>
    <row r="22" spans="1:7" x14ac:dyDescent="0.25">
      <c r="A22" t="s">
        <v>244</v>
      </c>
      <c r="B22" t="s">
        <v>177</v>
      </c>
      <c r="C22" s="49">
        <f>'Blood work'!$C233</f>
        <v>54.440154440154437</v>
      </c>
      <c r="D22">
        <v>1</v>
      </c>
      <c r="E22">
        <v>27.8</v>
      </c>
      <c r="F22">
        <v>-0.04</v>
      </c>
      <c r="G22">
        <v>7.8</v>
      </c>
    </row>
    <row r="23" spans="1:7" x14ac:dyDescent="0.25">
      <c r="A23" t="s">
        <v>260</v>
      </c>
      <c r="B23" t="s">
        <v>177</v>
      </c>
      <c r="C23" s="49">
        <f>'Blood work'!$C237</f>
        <v>77.992277992277991</v>
      </c>
      <c r="E23">
        <v>20</v>
      </c>
      <c r="G23">
        <v>0</v>
      </c>
    </row>
    <row r="24" spans="1:7" x14ac:dyDescent="0.25">
      <c r="A24" t="s">
        <v>245</v>
      </c>
      <c r="B24" t="s">
        <v>177</v>
      </c>
      <c r="C24" s="47">
        <f>'Blood work'!$C249</f>
        <v>9.48</v>
      </c>
      <c r="E24">
        <v>28</v>
      </c>
      <c r="G24">
        <v>0</v>
      </c>
    </row>
    <row r="25" spans="1:7" x14ac:dyDescent="0.25">
      <c r="A25" t="s">
        <v>246</v>
      </c>
      <c r="B25" t="s">
        <v>189</v>
      </c>
      <c r="C25" s="47">
        <f>'Blood work'!$C253</f>
        <v>4.0999999999999996</v>
      </c>
    </row>
    <row r="26" spans="1:7" x14ac:dyDescent="0.25">
      <c r="A26" t="s">
        <v>247</v>
      </c>
      <c r="B26" t="s">
        <v>251</v>
      </c>
      <c r="C26" s="47">
        <f>'Blood work'!$C77</f>
        <v>38.6</v>
      </c>
    </row>
    <row r="27" spans="1:7" x14ac:dyDescent="0.25">
      <c r="A27" t="s">
        <v>248</v>
      </c>
      <c r="B27" t="s">
        <v>237</v>
      </c>
      <c r="C27" s="47">
        <f>'Blood work'!$C102</f>
        <v>35</v>
      </c>
    </row>
    <row r="28" spans="1:7" x14ac:dyDescent="0.25">
      <c r="A28" t="s">
        <v>249</v>
      </c>
      <c r="B28" t="s">
        <v>182</v>
      </c>
      <c r="C28" s="47">
        <f>'Blood work'!$C106</f>
        <v>211</v>
      </c>
      <c r="D28">
        <v>1</v>
      </c>
      <c r="E28">
        <v>80</v>
      </c>
      <c r="F28">
        <v>0</v>
      </c>
      <c r="G28">
        <v>0</v>
      </c>
    </row>
    <row r="29" spans="1:7" x14ac:dyDescent="0.25">
      <c r="A29" t="s">
        <v>250</v>
      </c>
      <c r="B29" t="s">
        <v>252</v>
      </c>
      <c r="C29" s="47">
        <f>'Blood work'!$C84</f>
        <v>4.2</v>
      </c>
      <c r="E29">
        <v>69.099999999999994</v>
      </c>
      <c r="G29">
        <v>-31.9</v>
      </c>
    </row>
    <row r="30" spans="1:7" x14ac:dyDescent="0.25">
      <c r="A30" t="s">
        <v>254</v>
      </c>
      <c r="B30" t="s">
        <v>255</v>
      </c>
      <c r="C30" s="47">
        <f>'Blood work'!$C154</f>
        <v>8.24</v>
      </c>
      <c r="D30">
        <v>1.61</v>
      </c>
      <c r="E30">
        <v>20</v>
      </c>
      <c r="F30">
        <v>0.08</v>
      </c>
      <c r="G30">
        <v>0</v>
      </c>
    </row>
    <row r="31" spans="1:7" x14ac:dyDescent="0.25">
      <c r="A31" t="s">
        <v>256</v>
      </c>
      <c r="B31" t="s">
        <v>181</v>
      </c>
      <c r="C31" s="47">
        <f>'Blood work'!$C179</f>
        <v>47</v>
      </c>
      <c r="D31" t="s">
        <v>396</v>
      </c>
      <c r="E31" t="s">
        <v>397</v>
      </c>
      <c r="F31">
        <v>0</v>
      </c>
      <c r="G31">
        <v>0</v>
      </c>
    </row>
    <row r="32" spans="1:7" x14ac:dyDescent="0.25">
      <c r="A32" t="s">
        <v>257</v>
      </c>
      <c r="B32" t="s">
        <v>181</v>
      </c>
      <c r="C32" s="47">
        <f>'Blood work'!$C175</f>
        <v>26</v>
      </c>
      <c r="D32">
        <v>1.19</v>
      </c>
      <c r="E32">
        <v>69.900000000000006</v>
      </c>
      <c r="F32">
        <v>-0.12</v>
      </c>
      <c r="G32">
        <v>45.7</v>
      </c>
    </row>
    <row r="33" spans="1:7" x14ac:dyDescent="0.25">
      <c r="A33" t="s">
        <v>258</v>
      </c>
      <c r="B33" t="s">
        <v>274</v>
      </c>
      <c r="C33" s="47">
        <f>'Blood work'!$C135</f>
        <v>2440</v>
      </c>
      <c r="D33">
        <v>1</v>
      </c>
      <c r="E33">
        <v>20</v>
      </c>
      <c r="F33">
        <v>0</v>
      </c>
      <c r="G33">
        <v>0</v>
      </c>
    </row>
    <row r="34" spans="1:7" x14ac:dyDescent="0.25">
      <c r="A34" t="s">
        <v>259</v>
      </c>
      <c r="B34" t="s">
        <v>274</v>
      </c>
      <c r="C34" s="47">
        <f>'Blood work'!$C138</f>
        <v>1520</v>
      </c>
      <c r="D34">
        <v>1.1499999999999999</v>
      </c>
      <c r="E34">
        <v>100</v>
      </c>
      <c r="F34">
        <v>-0.24</v>
      </c>
      <c r="G34">
        <v>0</v>
      </c>
    </row>
    <row r="35" spans="1:7" x14ac:dyDescent="0.25">
      <c r="A35" t="s">
        <v>262</v>
      </c>
      <c r="B35" t="s">
        <v>274</v>
      </c>
      <c r="C35" s="47">
        <f>'Blood work'!$C141</f>
        <v>340</v>
      </c>
      <c r="D35">
        <v>1.02</v>
      </c>
      <c r="E35">
        <v>20</v>
      </c>
      <c r="F35">
        <v>0.02</v>
      </c>
      <c r="G35">
        <v>0</v>
      </c>
    </row>
    <row r="36" spans="1:7" x14ac:dyDescent="0.25">
      <c r="A36" t="s">
        <v>398</v>
      </c>
      <c r="B36" t="s">
        <v>178</v>
      </c>
      <c r="C36" s="47">
        <f>'Blood work'!$C372</f>
        <v>0.73</v>
      </c>
      <c r="D36">
        <v>3.45</v>
      </c>
      <c r="E36">
        <v>40.700000000000003</v>
      </c>
      <c r="F36">
        <v>2.4500000000000002</v>
      </c>
      <c r="G36">
        <v>12.7</v>
      </c>
    </row>
  </sheetData>
  <conditionalFormatting sqref="C2:C3 F6:G36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6:D36">
    <cfRule type="cellIs" dxfId="1" priority="1" operator="greaterThan">
      <formula>1.05</formula>
    </cfRule>
  </conditionalFormatting>
  <conditionalFormatting sqref="E6:E36">
    <cfRule type="cellIs" dxfId="0" priority="2" operator="greaterThan">
      <formula>50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B0E36-27EA-4AC3-8FD0-256402A1A935}">
  <dimension ref="A1:L16"/>
  <sheetViews>
    <sheetView zoomScale="142" zoomScaleNormal="142" workbookViewId="0">
      <selection activeCell="D15" sqref="D15"/>
    </sheetView>
  </sheetViews>
  <sheetFormatPr defaultRowHeight="15" x14ac:dyDescent="0.25"/>
  <cols>
    <col min="3" max="3" width="10.28515625" customWidth="1"/>
    <col min="6" max="6" width="11.42578125" customWidth="1"/>
    <col min="12" max="12" width="10.7109375" bestFit="1" customWidth="1"/>
  </cols>
  <sheetData>
    <row r="1" spans="1:12" x14ac:dyDescent="0.25">
      <c r="A1" s="53" t="s">
        <v>163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2" ht="39" thickBot="1" x14ac:dyDescent="0.3">
      <c r="A2" s="6" t="s">
        <v>164</v>
      </c>
      <c r="B2" s="7" t="s">
        <v>165</v>
      </c>
      <c r="C2" s="7" t="s">
        <v>166</v>
      </c>
      <c r="D2" s="7" t="s">
        <v>167</v>
      </c>
      <c r="E2" s="7" t="s">
        <v>168</v>
      </c>
      <c r="F2" s="7" t="s">
        <v>169</v>
      </c>
      <c r="G2" s="7" t="s">
        <v>170</v>
      </c>
      <c r="H2" s="7" t="s">
        <v>171</v>
      </c>
      <c r="I2" s="7" t="s">
        <v>172</v>
      </c>
      <c r="J2" s="7" t="s">
        <v>173</v>
      </c>
      <c r="K2" s="8" t="s">
        <v>174</v>
      </c>
      <c r="L2" s="40" t="s">
        <v>201</v>
      </c>
    </row>
    <row r="3" spans="1:12" ht="15.75" thickBot="1" x14ac:dyDescent="0.3">
      <c r="A3" s="9" t="s">
        <v>175</v>
      </c>
      <c r="B3" s="9">
        <f>'Blood work'!$C183</f>
        <v>4.4000000000000004</v>
      </c>
      <c r="C3" s="42">
        <f>'Blood work'!$C209</f>
        <v>0.91628959276018096</v>
      </c>
      <c r="D3" s="9">
        <f>'Blood work'!$C200</f>
        <v>90.090090090090087</v>
      </c>
      <c r="E3" s="9">
        <v>0.4</v>
      </c>
      <c r="F3" s="9">
        <f>'Blood work'!$C121</f>
        <v>34.5</v>
      </c>
      <c r="G3" s="9">
        <f>'Blood work'!$C88</f>
        <v>92</v>
      </c>
      <c r="H3" s="9">
        <f>'Blood work'!$C92</f>
        <v>12.2</v>
      </c>
      <c r="I3" s="9">
        <f>'Blood work'!$C243</f>
        <v>78</v>
      </c>
      <c r="J3" s="9">
        <f>'Blood work'!$C109</f>
        <v>4.43</v>
      </c>
      <c r="K3" s="42">
        <f>YEARFRAC(DATE(1975,10,10),'Blood work'!$C1)</f>
        <v>49.18333333333333</v>
      </c>
      <c r="L3" s="41">
        <f>D15</f>
        <v>36.954424559651457</v>
      </c>
    </row>
    <row r="4" spans="1:12" ht="15.75" thickTop="1" x14ac:dyDescent="0.25">
      <c r="A4" s="10" t="s">
        <v>176</v>
      </c>
      <c r="B4" s="11" t="s">
        <v>177</v>
      </c>
      <c r="C4" s="12" t="s">
        <v>177</v>
      </c>
      <c r="D4" s="12" t="s">
        <v>177</v>
      </c>
      <c r="E4" s="12" t="s">
        <v>178</v>
      </c>
      <c r="F4" s="12" t="s">
        <v>179</v>
      </c>
      <c r="G4" s="12" t="s">
        <v>180</v>
      </c>
      <c r="H4" s="12" t="s">
        <v>179</v>
      </c>
      <c r="I4" s="12" t="s">
        <v>181</v>
      </c>
      <c r="J4" s="12" t="s">
        <v>182</v>
      </c>
      <c r="K4" s="12" t="s">
        <v>183</v>
      </c>
    </row>
    <row r="5" spans="1:12" x14ac:dyDescent="0.25">
      <c r="A5" s="13" t="s">
        <v>184</v>
      </c>
      <c r="B5" s="14">
        <v>10</v>
      </c>
      <c r="C5" s="14">
        <v>88.4</v>
      </c>
      <c r="D5" s="14">
        <v>5.5500000000000001E-2</v>
      </c>
      <c r="E5" s="14">
        <v>0.1</v>
      </c>
      <c r="F5" s="14"/>
      <c r="G5" s="14"/>
      <c r="H5" s="14"/>
      <c r="I5" s="14"/>
      <c r="J5" s="14"/>
      <c r="K5" s="14"/>
    </row>
    <row r="6" spans="1:12" x14ac:dyDescent="0.25">
      <c r="A6" s="15" t="s">
        <v>185</v>
      </c>
      <c r="B6" s="16">
        <f>B3*B5</f>
        <v>44</v>
      </c>
      <c r="C6" s="17">
        <f>C3*C5</f>
        <v>81</v>
      </c>
      <c r="D6" s="18">
        <f>D3*D5</f>
        <v>5</v>
      </c>
      <c r="E6" s="17">
        <f>LN(E3*E5)</f>
        <v>-3.2188758248682006</v>
      </c>
      <c r="F6" s="16">
        <f t="shared" ref="F6:K6" si="0">F3</f>
        <v>34.5</v>
      </c>
      <c r="G6" s="16">
        <f t="shared" si="0"/>
        <v>92</v>
      </c>
      <c r="H6" s="16">
        <f t="shared" si="0"/>
        <v>12.2</v>
      </c>
      <c r="I6" s="16">
        <f t="shared" si="0"/>
        <v>78</v>
      </c>
      <c r="J6" s="16">
        <f t="shared" si="0"/>
        <v>4.43</v>
      </c>
      <c r="K6" s="16">
        <f t="shared" si="0"/>
        <v>49.18333333333333</v>
      </c>
    </row>
    <row r="7" spans="1:12" x14ac:dyDescent="0.25">
      <c r="A7" s="10" t="s">
        <v>186</v>
      </c>
      <c r="B7" s="12" t="s">
        <v>187</v>
      </c>
      <c r="C7" s="19" t="s">
        <v>188</v>
      </c>
      <c r="D7" s="12" t="s">
        <v>189</v>
      </c>
      <c r="E7" s="12" t="s">
        <v>190</v>
      </c>
      <c r="F7" s="12" t="s">
        <v>179</v>
      </c>
      <c r="G7" s="12" t="s">
        <v>180</v>
      </c>
      <c r="H7" s="12" t="s">
        <v>179</v>
      </c>
      <c r="I7" s="12" t="s">
        <v>181</v>
      </c>
      <c r="J7" s="12" t="s">
        <v>182</v>
      </c>
      <c r="K7" s="12" t="s">
        <v>183</v>
      </c>
    </row>
    <row r="8" spans="1:12" x14ac:dyDescent="0.25">
      <c r="A8" s="13" t="s">
        <v>191</v>
      </c>
      <c r="B8" s="14">
        <v>-3.3599999999999998E-2</v>
      </c>
      <c r="C8" s="14">
        <v>9.4999999999999998E-3</v>
      </c>
      <c r="D8" s="14">
        <v>0.1953</v>
      </c>
      <c r="E8" s="14">
        <v>9.5399999999999999E-2</v>
      </c>
      <c r="F8" s="14">
        <v>-1.2E-2</v>
      </c>
      <c r="G8" s="14">
        <v>2.6800000000000001E-2</v>
      </c>
      <c r="H8" s="14">
        <v>0.3306</v>
      </c>
      <c r="I8" s="14">
        <v>1.9E-3</v>
      </c>
      <c r="J8" s="14">
        <v>5.5399999999999998E-2</v>
      </c>
      <c r="K8" s="14">
        <v>8.0399999999999999E-2</v>
      </c>
    </row>
    <row r="9" spans="1:12" x14ac:dyDescent="0.25">
      <c r="A9" s="20" t="s">
        <v>192</v>
      </c>
      <c r="B9" s="21">
        <f>B6*B8</f>
        <v>-1.4783999999999999</v>
      </c>
      <c r="C9" s="21">
        <f>C6*C8</f>
        <v>0.76949999999999996</v>
      </c>
      <c r="D9" s="21">
        <f t="shared" ref="D9:K9" si="1">D6*D8</f>
        <v>0.97650000000000003</v>
      </c>
      <c r="E9" s="21">
        <f t="shared" si="1"/>
        <v>-0.30708075369242632</v>
      </c>
      <c r="F9" s="21">
        <f t="shared" si="1"/>
        <v>-0.41400000000000003</v>
      </c>
      <c r="G9" s="21">
        <f t="shared" si="1"/>
        <v>2.4656000000000002</v>
      </c>
      <c r="H9" s="21">
        <f t="shared" si="1"/>
        <v>4.0333199999999998</v>
      </c>
      <c r="I9" s="21">
        <f t="shared" si="1"/>
        <v>0.1482</v>
      </c>
      <c r="J9" s="21">
        <f t="shared" si="1"/>
        <v>0.24542199999999997</v>
      </c>
      <c r="K9" s="21">
        <f t="shared" si="1"/>
        <v>3.9543399999999997</v>
      </c>
    </row>
    <row r="10" spans="1:12" x14ac:dyDescent="0.25">
      <c r="A10" s="22" t="s">
        <v>193</v>
      </c>
      <c r="K10" s="23"/>
    </row>
    <row r="11" spans="1:12" x14ac:dyDescent="0.25">
      <c r="A11" s="24" t="s">
        <v>194</v>
      </c>
      <c r="B11" s="25">
        <v>10</v>
      </c>
      <c r="C11" s="25" t="s">
        <v>195</v>
      </c>
      <c r="D11" s="25">
        <f>B11*12</f>
        <v>120</v>
      </c>
      <c r="E11" s="25" t="s">
        <v>196</v>
      </c>
      <c r="K11" s="23"/>
    </row>
    <row r="12" spans="1:12" x14ac:dyDescent="0.25">
      <c r="A12" s="26" t="s">
        <v>197</v>
      </c>
      <c r="B12" s="14">
        <v>7.6927000000000002E-3</v>
      </c>
      <c r="C12" s="23"/>
      <c r="K12" s="23"/>
    </row>
    <row r="13" spans="1:12" x14ac:dyDescent="0.25">
      <c r="A13" s="27" t="s">
        <v>198</v>
      </c>
      <c r="B13" s="28">
        <v>-19.906700000000001</v>
      </c>
      <c r="C13" s="29"/>
      <c r="K13" s="23"/>
    </row>
    <row r="14" spans="1:12" ht="15.75" thickBot="1" x14ac:dyDescent="0.3">
      <c r="A14" s="30"/>
      <c r="B14" s="30" t="s">
        <v>199</v>
      </c>
      <c r="C14" s="30" t="s">
        <v>200</v>
      </c>
      <c r="D14" s="40" t="s">
        <v>201</v>
      </c>
      <c r="E14" s="30" t="s">
        <v>202</v>
      </c>
      <c r="F14" s="30" t="s">
        <v>203</v>
      </c>
      <c r="G14" s="31"/>
      <c r="H14" s="31"/>
      <c r="I14" s="31"/>
      <c r="J14" s="31"/>
      <c r="K14" s="32"/>
    </row>
    <row r="15" spans="1:12" ht="15.75" thickBot="1" x14ac:dyDescent="0.3">
      <c r="A15" s="33" t="s">
        <v>204</v>
      </c>
      <c r="B15" s="34">
        <f>B9+C9+D9+E9+F9+G9+H9+I9+J9+K9+B13</f>
        <v>-9.5132987536924283</v>
      </c>
      <c r="C15" s="38">
        <f>1-EXP(-EXP(B15)*(EXP(B12*D11)-1)/B12)</f>
        <v>1.4461549014608943E-2</v>
      </c>
      <c r="D15" s="41">
        <f>141.50225 + LN(-0.00553*LN(1 -C15))/0.090165</f>
        <v>36.954424559651457</v>
      </c>
      <c r="E15" s="39">
        <f>D15/(1+1.28047*EXP(0.0344329*(-182.344+D15)))</f>
        <v>36.640251129551551</v>
      </c>
      <c r="F15" s="35">
        <f>1 - EXP(-0.000520363523*EXP(0.090165*E15))</f>
        <v>1.4060491324351942E-2</v>
      </c>
      <c r="G15" s="36"/>
      <c r="H15" s="36"/>
      <c r="I15" s="36"/>
      <c r="J15" s="36"/>
      <c r="K15" s="37"/>
    </row>
    <row r="16" spans="1:12" ht="15.75" thickTop="1" x14ac:dyDescent="0.25"/>
  </sheetData>
  <mergeCells count="1">
    <mergeCell ref="A1:K1"/>
  </mergeCells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1FA0B-D96B-4F43-A4DF-871121363E4E}">
  <dimension ref="A1:H35"/>
  <sheetViews>
    <sheetView workbookViewId="0">
      <selection activeCell="C5" sqref="C5"/>
    </sheetView>
  </sheetViews>
  <sheetFormatPr defaultRowHeight="15" x14ac:dyDescent="0.25"/>
  <cols>
    <col min="1" max="1" width="44.28515625" bestFit="1" customWidth="1"/>
    <col min="2" max="2" width="13" customWidth="1"/>
    <col min="3" max="3" width="22.28515625" customWidth="1"/>
    <col min="4" max="4" width="9.140625" hidden="1" customWidth="1"/>
    <col min="5" max="5" width="48.28515625" hidden="1" customWidth="1"/>
    <col min="6" max="6" width="11" hidden="1" customWidth="1"/>
    <col min="7" max="7" width="18.7109375" hidden="1" customWidth="1"/>
    <col min="8" max="8" width="1" customWidth="1"/>
  </cols>
  <sheetData>
    <row r="1" spans="1:8" x14ac:dyDescent="0.25">
      <c r="A1" t="s">
        <v>431</v>
      </c>
      <c r="B1" s="52">
        <f>'Blood work'!$C1</f>
        <v>45642</v>
      </c>
      <c r="C1" s="1"/>
    </row>
    <row r="2" spans="1:8" x14ac:dyDescent="0.25">
      <c r="A2" t="s">
        <v>430</v>
      </c>
      <c r="B2" s="52">
        <v>27677</v>
      </c>
      <c r="C2" s="1"/>
    </row>
    <row r="3" spans="1:8" x14ac:dyDescent="0.25">
      <c r="A3" t="s">
        <v>429</v>
      </c>
      <c r="B3" s="52" t="s">
        <v>428</v>
      </c>
      <c r="C3" s="1"/>
    </row>
    <row r="5" spans="1:8" x14ac:dyDescent="0.25">
      <c r="A5" s="43" t="s">
        <v>238</v>
      </c>
      <c r="B5" s="43" t="s">
        <v>176</v>
      </c>
      <c r="C5" s="43"/>
    </row>
    <row r="6" spans="1:8" hidden="1" x14ac:dyDescent="0.25">
      <c r="A6" t="s">
        <v>427</v>
      </c>
      <c r="B6" t="s">
        <v>195</v>
      </c>
      <c r="D6">
        <f>YEARFRAC(B2,B1)</f>
        <v>49.18333333333333</v>
      </c>
      <c r="E6">
        <v>-2.5669127E-2</v>
      </c>
      <c r="F6">
        <v>56.048775200000001</v>
      </c>
      <c r="G6">
        <f t="shared" ref="G6:G31" si="0">(D6-F6)*E6</f>
        <v>0.17622989918658385</v>
      </c>
      <c r="H6">
        <f>G6</f>
        <v>0.17622989918658385</v>
      </c>
    </row>
    <row r="7" spans="1:8" x14ac:dyDescent="0.25">
      <c r="A7" t="s">
        <v>165</v>
      </c>
      <c r="B7" t="s">
        <v>237</v>
      </c>
      <c r="C7" s="47">
        <f>'Blood work'!$C183</f>
        <v>4.4000000000000004</v>
      </c>
      <c r="D7">
        <f>C7*10</f>
        <v>44</v>
      </c>
      <c r="E7">
        <v>-1.1331946000000001E-2</v>
      </c>
      <c r="F7">
        <v>45.123876299999999</v>
      </c>
      <c r="G7">
        <f t="shared" si="0"/>
        <v>1.273570554227979E-2</v>
      </c>
      <c r="H7">
        <f t="shared" ref="H7:H31" si="1">IF(ISBLANK(C7),0,G7)</f>
        <v>1.273570554227979E-2</v>
      </c>
    </row>
    <row r="8" spans="1:8" x14ac:dyDescent="0.25">
      <c r="A8" t="s">
        <v>236</v>
      </c>
      <c r="B8" t="s">
        <v>424</v>
      </c>
      <c r="C8" s="47">
        <f>'Blood work'!$C243</f>
        <v>78</v>
      </c>
      <c r="D8">
        <f>C8</f>
        <v>78</v>
      </c>
      <c r="E8">
        <v>1.6494599999999999E-3</v>
      </c>
      <c r="F8">
        <v>82.684797500000002</v>
      </c>
      <c r="G8">
        <f t="shared" si="0"/>
        <v>-7.7273860843500028E-3</v>
      </c>
      <c r="H8">
        <f t="shared" si="1"/>
        <v>-7.7273860843500028E-3</v>
      </c>
    </row>
    <row r="9" spans="1:8" x14ac:dyDescent="0.25">
      <c r="A9" t="s">
        <v>261</v>
      </c>
      <c r="B9" t="s">
        <v>177</v>
      </c>
      <c r="C9" s="48">
        <f>'Blood work'!$C213</f>
        <v>15.181127721638843</v>
      </c>
      <c r="D9">
        <f>C9*0.3571</f>
        <v>5.4211807093972304</v>
      </c>
      <c r="E9">
        <v>-2.9554871999999999E-2</v>
      </c>
      <c r="F9">
        <v>5.3547152000000002</v>
      </c>
      <c r="G9">
        <f t="shared" si="0"/>
        <v>-1.9643796226499347E-3</v>
      </c>
      <c r="H9">
        <f t="shared" si="1"/>
        <v>-1.9643796226499347E-3</v>
      </c>
    </row>
    <row r="10" spans="1:8" x14ac:dyDescent="0.25">
      <c r="A10" t="s">
        <v>253</v>
      </c>
      <c r="B10" t="s">
        <v>177</v>
      </c>
      <c r="C10" s="49">
        <f>'Blood work'!$C229</f>
        <v>140.92664092664091</v>
      </c>
      <c r="D10">
        <f>C10*0.02586</f>
        <v>3.6443629343629342</v>
      </c>
      <c r="E10">
        <v>-8.0565600000000001E-2</v>
      </c>
      <c r="F10">
        <v>5.6177437000000001</v>
      </c>
      <c r="G10">
        <f t="shared" si="0"/>
        <v>0.1589866054120096</v>
      </c>
      <c r="H10">
        <f t="shared" si="1"/>
        <v>0.1589866054120096</v>
      </c>
    </row>
    <row r="11" spans="1:8" x14ac:dyDescent="0.25">
      <c r="A11" t="s">
        <v>166</v>
      </c>
      <c r="B11" t="s">
        <v>177</v>
      </c>
      <c r="C11" s="48">
        <f>'Blood work'!$C209</f>
        <v>0.91628959276018096</v>
      </c>
      <c r="D11">
        <f>C11*88.42</f>
        <v>81.018325791855204</v>
      </c>
      <c r="E11">
        <v>-1.095746E-2</v>
      </c>
      <c r="F11">
        <v>71.565605000000005</v>
      </c>
      <c r="G11">
        <f t="shared" si="0"/>
        <v>-0.10357780996792168</v>
      </c>
      <c r="H11">
        <f t="shared" si="1"/>
        <v>-0.10357780996792168</v>
      </c>
    </row>
    <row r="12" spans="1:8" x14ac:dyDescent="0.25">
      <c r="A12" t="s">
        <v>398</v>
      </c>
      <c r="B12" t="s">
        <v>178</v>
      </c>
      <c r="C12" s="47">
        <f>'Blood work'!$C372</f>
        <v>0.73</v>
      </c>
      <c r="D12">
        <f>C12</f>
        <v>0.73</v>
      </c>
      <c r="E12">
        <v>1.8595564360000001</v>
      </c>
      <c r="F12">
        <v>0.90094600000000002</v>
      </c>
      <c r="G12">
        <f t="shared" si="0"/>
        <v>-0.31788373450845608</v>
      </c>
      <c r="H12">
        <f t="shared" si="1"/>
        <v>-0.31788373450845608</v>
      </c>
    </row>
    <row r="13" spans="1:8" x14ac:dyDescent="0.25">
      <c r="A13" t="s">
        <v>426</v>
      </c>
      <c r="B13" t="s">
        <v>251</v>
      </c>
      <c r="C13" s="47">
        <f>'Blood work'!$C163</f>
        <v>4.8</v>
      </c>
      <c r="D13">
        <f>(C13-2.152)/0.09148</f>
        <v>28.946217752514205</v>
      </c>
      <c r="E13">
        <v>1.8116674999999999E-2</v>
      </c>
      <c r="F13">
        <v>35.478571100000003</v>
      </c>
      <c r="G13">
        <f t="shared" si="0"/>
        <v>-0.11834452258156228</v>
      </c>
      <c r="H13">
        <f t="shared" si="1"/>
        <v>-0.11834452258156228</v>
      </c>
    </row>
    <row r="14" spans="1:8" x14ac:dyDescent="0.25">
      <c r="A14" t="s">
        <v>168</v>
      </c>
      <c r="B14" t="s">
        <v>178</v>
      </c>
      <c r="C14" s="47">
        <v>0.4</v>
      </c>
      <c r="D14">
        <f>LN(C14)</f>
        <v>-0.916290731874155</v>
      </c>
      <c r="E14">
        <v>7.9109916000000002E-2</v>
      </c>
      <c r="F14">
        <v>0.30036239999999997</v>
      </c>
      <c r="G14">
        <f t="shared" si="0"/>
        <v>-9.6249327063701318E-2</v>
      </c>
      <c r="H14">
        <f t="shared" si="1"/>
        <v>-9.6249327063701318E-2</v>
      </c>
    </row>
    <row r="15" spans="1:8" x14ac:dyDescent="0.25">
      <c r="A15" t="s">
        <v>425</v>
      </c>
      <c r="B15" t="s">
        <v>424</v>
      </c>
      <c r="C15" s="47">
        <f>'Blood work'!$C195</f>
        <v>17</v>
      </c>
      <c r="D15">
        <f>LN(C15)</f>
        <v>2.8332133440562162</v>
      </c>
      <c r="E15">
        <v>0.26555031099999998</v>
      </c>
      <c r="F15">
        <v>3.3795613000000002</v>
      </c>
      <c r="G15">
        <f t="shared" si="0"/>
        <v>-0.14508286961508615</v>
      </c>
      <c r="H15">
        <f t="shared" si="1"/>
        <v>-0.14508286961508615</v>
      </c>
    </row>
    <row r="16" spans="1:8" ht="17.25" x14ac:dyDescent="0.25">
      <c r="A16" t="s">
        <v>250</v>
      </c>
      <c r="B16" t="s">
        <v>423</v>
      </c>
      <c r="C16" s="47">
        <f>'Blood work'!$C84</f>
        <v>4.2</v>
      </c>
      <c r="D16">
        <f>C16</f>
        <v>4.2</v>
      </c>
      <c r="E16">
        <v>-0.20444215299999999</v>
      </c>
      <c r="F16">
        <v>4.4994648000000002</v>
      </c>
      <c r="G16">
        <f t="shared" si="0"/>
        <v>6.1223228459714389E-2</v>
      </c>
      <c r="H16">
        <f t="shared" si="1"/>
        <v>6.1223228459714389E-2</v>
      </c>
    </row>
    <row r="17" spans="1:8" x14ac:dyDescent="0.25">
      <c r="A17" t="s">
        <v>263</v>
      </c>
      <c r="B17" t="s">
        <v>180</v>
      </c>
      <c r="C17" s="47">
        <f>'Blood work'!$C88</f>
        <v>92</v>
      </c>
      <c r="D17">
        <f>C17</f>
        <v>92</v>
      </c>
      <c r="E17">
        <v>1.7165356E-2</v>
      </c>
      <c r="F17">
        <v>91.925109899999995</v>
      </c>
      <c r="G17">
        <f t="shared" si="0"/>
        <v>1.2855152273756794E-3</v>
      </c>
      <c r="H17">
        <f t="shared" si="1"/>
        <v>1.2855152273756794E-3</v>
      </c>
    </row>
    <row r="18" spans="1:8" x14ac:dyDescent="0.25">
      <c r="A18" t="s">
        <v>264</v>
      </c>
      <c r="B18" t="s">
        <v>179</v>
      </c>
      <c r="C18" s="47">
        <f>'Blood work'!$C92</f>
        <v>12.2</v>
      </c>
      <c r="D18">
        <f>C18</f>
        <v>12.2</v>
      </c>
      <c r="E18">
        <v>0.20200989499999999</v>
      </c>
      <c r="F18">
        <v>13.4342296</v>
      </c>
      <c r="G18">
        <f t="shared" si="0"/>
        <v>-0.24932659190189216</v>
      </c>
      <c r="H18">
        <f t="shared" si="1"/>
        <v>-0.24932659190189216</v>
      </c>
    </row>
    <row r="19" spans="1:8" x14ac:dyDescent="0.25">
      <c r="A19" t="s">
        <v>262</v>
      </c>
      <c r="B19" t="s">
        <v>274</v>
      </c>
      <c r="C19" s="47">
        <f>'Blood work'!$C141</f>
        <v>340</v>
      </c>
      <c r="D19">
        <f>C19/1000</f>
        <v>0.34</v>
      </c>
      <c r="E19">
        <v>0.36937313999999999</v>
      </c>
      <c r="F19">
        <v>0.47469869999999997</v>
      </c>
      <c r="G19">
        <f t="shared" si="0"/>
        <v>-4.9754081772917978E-2</v>
      </c>
      <c r="H19">
        <f t="shared" si="1"/>
        <v>-4.9754081772917978E-2</v>
      </c>
    </row>
    <row r="20" spans="1:8" x14ac:dyDescent="0.25">
      <c r="A20" t="s">
        <v>258</v>
      </c>
      <c r="B20" t="s">
        <v>274</v>
      </c>
      <c r="C20" s="47">
        <f>'Blood work'!$C135</f>
        <v>2440</v>
      </c>
      <c r="D20">
        <f>C20/1000</f>
        <v>2.44</v>
      </c>
      <c r="E20">
        <v>6.6790920000000004E-2</v>
      </c>
      <c r="F20">
        <v>4.1849454000000001</v>
      </c>
      <c r="G20">
        <f t="shared" si="0"/>
        <v>-0.11654650861576801</v>
      </c>
      <c r="H20">
        <f t="shared" si="1"/>
        <v>-0.11654650861576801</v>
      </c>
    </row>
    <row r="21" spans="1:8" x14ac:dyDescent="0.25">
      <c r="A21" t="s">
        <v>266</v>
      </c>
      <c r="B21" t="s">
        <v>179</v>
      </c>
      <c r="C21" s="47">
        <f>'Blood work'!$C121</f>
        <v>34.5</v>
      </c>
      <c r="D21">
        <f>C21</f>
        <v>34.5</v>
      </c>
      <c r="E21">
        <v>-1.08158E-2</v>
      </c>
      <c r="F21">
        <v>28.5817604</v>
      </c>
      <c r="G21">
        <f t="shared" si="0"/>
        <v>-6.401049586568E-2</v>
      </c>
      <c r="H21">
        <f t="shared" si="1"/>
        <v>-6.401049586568E-2</v>
      </c>
    </row>
    <row r="22" spans="1:8" x14ac:dyDescent="0.25">
      <c r="A22" t="s">
        <v>422</v>
      </c>
      <c r="B22" t="s">
        <v>180</v>
      </c>
      <c r="C22" s="47"/>
      <c r="D22">
        <f>C22</f>
        <v>0</v>
      </c>
      <c r="E22">
        <v>6.736204E-3</v>
      </c>
      <c r="F22">
        <v>83.6363269</v>
      </c>
      <c r="G22">
        <f t="shared" si="0"/>
        <v>-0.56339135980908761</v>
      </c>
      <c r="H22">
        <f t="shared" si="1"/>
        <v>0</v>
      </c>
    </row>
    <row r="23" spans="1:8" x14ac:dyDescent="0.25">
      <c r="A23" t="s">
        <v>257</v>
      </c>
      <c r="B23" t="s">
        <v>181</v>
      </c>
      <c r="C23" s="47">
        <f>'Blood work'!$C175</f>
        <v>26</v>
      </c>
      <c r="D23">
        <f>LN(C23)</f>
        <v>3.2580965380214821</v>
      </c>
      <c r="E23">
        <v>-0.312442261</v>
      </c>
      <c r="F23">
        <v>3.077868</v>
      </c>
      <c r="G23">
        <f t="shared" si="0"/>
        <v>-5.6311011916156332E-2</v>
      </c>
      <c r="H23">
        <f t="shared" si="1"/>
        <v>-5.6311011916156332E-2</v>
      </c>
    </row>
    <row r="24" spans="1:8" x14ac:dyDescent="0.25">
      <c r="A24" t="s">
        <v>421</v>
      </c>
      <c r="B24" t="s">
        <v>420</v>
      </c>
      <c r="C24" s="47">
        <f>'Blood work'!$C316</f>
        <v>47</v>
      </c>
      <c r="D24">
        <f>LN(C24)</f>
        <v>3.8501476017100584</v>
      </c>
      <c r="E24">
        <v>0.29232318600000001</v>
      </c>
      <c r="F24">
        <v>3.8202786999999998</v>
      </c>
      <c r="G24">
        <f t="shared" si="0"/>
        <v>8.7313725102051865E-3</v>
      </c>
      <c r="H24">
        <f t="shared" si="1"/>
        <v>8.7313725102051865E-3</v>
      </c>
    </row>
    <row r="25" spans="1:8" x14ac:dyDescent="0.25">
      <c r="A25" t="s">
        <v>419</v>
      </c>
      <c r="B25" t="s">
        <v>418</v>
      </c>
      <c r="C25" s="47">
        <f>'Blood work'!$C328</f>
        <v>63.1</v>
      </c>
      <c r="D25">
        <f>LN(C25*2.496)</f>
        <v>5.0594102200543487</v>
      </c>
      <c r="E25">
        <v>-0.26546786700000002</v>
      </c>
      <c r="F25">
        <v>3.6052878000000002</v>
      </c>
      <c r="G25">
        <f t="shared" si="0"/>
        <v>-0.38602277720870598</v>
      </c>
      <c r="H25">
        <f t="shared" si="1"/>
        <v>-0.38602277720870598</v>
      </c>
    </row>
    <row r="26" spans="1:8" x14ac:dyDescent="0.25">
      <c r="A26" t="s">
        <v>417</v>
      </c>
      <c r="B26" t="s">
        <v>251</v>
      </c>
      <c r="C26" s="47"/>
      <c r="D26">
        <f>C26</f>
        <v>0</v>
      </c>
      <c r="E26">
        <v>0.16923416499999999</v>
      </c>
      <c r="F26">
        <v>0.39881519999999998</v>
      </c>
      <c r="G26">
        <f t="shared" si="0"/>
        <v>-6.7493157361307995E-2</v>
      </c>
      <c r="H26">
        <f t="shared" si="1"/>
        <v>0</v>
      </c>
    </row>
    <row r="27" spans="1:8" x14ac:dyDescent="0.25">
      <c r="A27" t="s">
        <v>235</v>
      </c>
      <c r="B27" t="s">
        <v>177</v>
      </c>
      <c r="C27" s="48">
        <f>'Blood work'!$C200</f>
        <v>90.090090090090087</v>
      </c>
      <c r="D27">
        <f>C27*0.0555</f>
        <v>5</v>
      </c>
      <c r="E27">
        <v>3.2171478000000003E-2</v>
      </c>
      <c r="F27">
        <v>4.9563053999999998</v>
      </c>
      <c r="G27">
        <f t="shared" si="0"/>
        <v>1.4057198626188081E-3</v>
      </c>
      <c r="H27">
        <f t="shared" si="1"/>
        <v>1.4057198626188081E-3</v>
      </c>
    </row>
    <row r="28" spans="1:8" x14ac:dyDescent="0.25">
      <c r="A28" t="s">
        <v>416</v>
      </c>
      <c r="B28" t="s">
        <v>251</v>
      </c>
      <c r="C28" s="47"/>
      <c r="D28">
        <f>C28</f>
        <v>0</v>
      </c>
      <c r="E28">
        <v>7.1527710999999994E-2</v>
      </c>
      <c r="F28">
        <v>16.454357600000002</v>
      </c>
      <c r="G28">
        <f t="shared" si="0"/>
        <v>-1.1769425351034537</v>
      </c>
      <c r="H28">
        <f t="shared" si="1"/>
        <v>0</v>
      </c>
    </row>
    <row r="29" spans="1:8" x14ac:dyDescent="0.25">
      <c r="A29" t="s">
        <v>415</v>
      </c>
      <c r="B29" t="s">
        <v>414</v>
      </c>
      <c r="C29" s="47"/>
      <c r="D29">
        <f>C29</f>
        <v>0</v>
      </c>
      <c r="E29">
        <v>2.7464869999999999E-2</v>
      </c>
      <c r="F29">
        <v>31.8396206</v>
      </c>
      <c r="G29">
        <f t="shared" si="0"/>
        <v>-0.87447104062832193</v>
      </c>
      <c r="H29">
        <f t="shared" si="1"/>
        <v>0</v>
      </c>
    </row>
    <row r="30" spans="1:8" x14ac:dyDescent="0.25">
      <c r="A30" t="s">
        <v>413</v>
      </c>
      <c r="B30" t="s">
        <v>251</v>
      </c>
      <c r="C30" s="47"/>
      <c r="D30">
        <f>C30</f>
        <v>0</v>
      </c>
      <c r="E30">
        <v>-1.329561046</v>
      </c>
      <c r="F30">
        <v>0.23853959999999999</v>
      </c>
      <c r="G30">
        <f t="shared" si="0"/>
        <v>0.31715296008842159</v>
      </c>
      <c r="H30">
        <f t="shared" si="1"/>
        <v>0</v>
      </c>
    </row>
    <row r="31" spans="1:8" x14ac:dyDescent="0.25">
      <c r="A31" t="s">
        <v>412</v>
      </c>
      <c r="B31" t="s">
        <v>177</v>
      </c>
      <c r="C31" s="47">
        <f>'Blood work'!$C379</f>
        <v>139</v>
      </c>
      <c r="D31">
        <f>C31/100</f>
        <v>1.39</v>
      </c>
      <c r="E31">
        <v>-0.18513939500000001</v>
      </c>
      <c r="F31">
        <v>1.5238771</v>
      </c>
      <c r="G31">
        <f t="shared" si="0"/>
        <v>2.4785925298354518E-2</v>
      </c>
      <c r="H31">
        <f t="shared" si="1"/>
        <v>2.4785925298354518E-2</v>
      </c>
    </row>
    <row r="32" spans="1:8" x14ac:dyDescent="0.25">
      <c r="G32">
        <f>SUM(G6:G31)*10</f>
        <v>-36.325626580394555</v>
      </c>
      <c r="H32">
        <f>SUM(H6:H31)*10</f>
        <v>-12.674175252257063</v>
      </c>
    </row>
    <row r="33" spans="1:2" x14ac:dyDescent="0.25">
      <c r="A33" t="s">
        <v>411</v>
      </c>
      <c r="B33" s="51">
        <f>D6</f>
        <v>49.18333333333333</v>
      </c>
    </row>
    <row r="34" spans="1:2" x14ac:dyDescent="0.25">
      <c r="A34" t="s">
        <v>410</v>
      </c>
      <c r="B34" s="51">
        <f>H32</f>
        <v>-12.674175252257063</v>
      </c>
    </row>
    <row r="35" spans="1:2" x14ac:dyDescent="0.25">
      <c r="A35" t="s">
        <v>409</v>
      </c>
      <c r="B35" s="51">
        <f>B33+B34</f>
        <v>36.509158081076265</v>
      </c>
    </row>
  </sheetData>
  <dataValidations disablePrompts="1" count="1">
    <dataValidation type="list" allowBlank="1" showInputMessage="1" showErrorMessage="1" sqref="B3" xr:uid="{6AD59854-AB1E-4177-A6DC-B7C1AA66BB6E}">
      <formula1>"M"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Blood work</vt:lpstr>
      <vt:lpstr>Amino</vt:lpstr>
      <vt:lpstr>Analysis</vt:lpstr>
      <vt:lpstr>page</vt:lpstr>
      <vt:lpstr>enc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2021-07-04T13:14:21Z</dcterms:created>
  <dcterms:modified xsi:type="dcterms:W3CDTF">2025-08-15T13:49:19Z</dcterms:modified>
</cp:coreProperties>
</file>